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05" tabRatio="797" activeTab="0"/>
  </bookViews>
  <sheets>
    <sheet name="Intro" sheetId="1" r:id="rId1"/>
    <sheet name="Data" sheetId="2" r:id="rId2"/>
    <sheet name="100ObsSample" sheetId="3" state="hidden" r:id="rId3"/>
    <sheet name="MCSim" sheetId="4" state="hidden" r:id="rId4"/>
    <sheet name="ProbitNLLS" sheetId="5" state="hidden" r:id="rId5"/>
  </sheets>
  <definedNames>
    <definedName name="intercept">'Data'!$B$4</definedName>
    <definedName name="slope">'Data'!$B$5</definedName>
    <definedName name="solver_adj" localSheetId="4" hidden="1">'ProbitNLLS'!$A$4,'ProbitNLLS'!$A$6</definedName>
    <definedName name="solver_cvg" localSheetId="2" hidden="1">0.0001</definedName>
    <definedName name="solver_cvg" localSheetId="4" hidden="1">0.001</definedName>
    <definedName name="solver_drv" localSheetId="2" hidden="1">1</definedName>
    <definedName name="solver_drv" localSheetId="4" hidden="1">1</definedName>
    <definedName name="solver_est" localSheetId="2" hidden="1">1</definedName>
    <definedName name="solver_est" localSheetId="4" hidden="1">1</definedName>
    <definedName name="solver_itr" localSheetId="2" hidden="1">100</definedName>
    <definedName name="solver_itr" localSheetId="4" hidden="1">100</definedName>
    <definedName name="solver_lin" localSheetId="2" hidden="1">2</definedName>
    <definedName name="solver_lin" localSheetId="4" hidden="1">2</definedName>
    <definedName name="solver_neg" localSheetId="2" hidden="1">2</definedName>
    <definedName name="solver_neg" localSheetId="4" hidden="1">2</definedName>
    <definedName name="solver_num" localSheetId="2" hidden="1">0</definedName>
    <definedName name="solver_num" localSheetId="4" hidden="1">0</definedName>
    <definedName name="solver_nwt" localSheetId="2" hidden="1">1</definedName>
    <definedName name="solver_nwt" localSheetId="4" hidden="1">1</definedName>
    <definedName name="solver_opt" localSheetId="2" hidden="1">'100ObsSample'!$G$16</definedName>
    <definedName name="solver_opt" localSheetId="4" hidden="1">'ProbitNLLS'!$A$2</definedName>
    <definedName name="solver_pre" localSheetId="2" hidden="1">0.000001</definedName>
    <definedName name="solver_pre" localSheetId="4" hidden="1">0.000001</definedName>
    <definedName name="solver_scl" localSheetId="2" hidden="1">2</definedName>
    <definedName name="solver_scl" localSheetId="4" hidden="1">2</definedName>
    <definedName name="solver_sho" localSheetId="2" hidden="1">2</definedName>
    <definedName name="solver_sho" localSheetId="4" hidden="1">2</definedName>
    <definedName name="solver_tim" localSheetId="2" hidden="1">100</definedName>
    <definedName name="solver_tim" localSheetId="4" hidden="1">100</definedName>
    <definedName name="solver_tol" localSheetId="2" hidden="1">0.05</definedName>
    <definedName name="solver_tol" localSheetId="4" hidden="1">0.05</definedName>
    <definedName name="solver_typ" localSheetId="2" hidden="1">1</definedName>
    <definedName name="solver_typ" localSheetId="4" hidden="1">2</definedName>
    <definedName name="solver_val" localSheetId="2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<sst xmlns="http://schemas.openxmlformats.org/spreadsheetml/2006/main" count="69" uniqueCount="63">
  <si>
    <t>Results of Monte Carlo Simulation</t>
  </si>
  <si>
    <t>Sample Number</t>
  </si>
  <si>
    <t>Average</t>
  </si>
  <si>
    <t>SD</t>
  </si>
  <si>
    <t>Max</t>
  </si>
  <si>
    <t>Min</t>
  </si>
  <si>
    <t>Threshold</t>
  </si>
  <si>
    <t>Intercept</t>
  </si>
  <si>
    <r>
      <t>b</t>
    </r>
    <r>
      <rPr>
        <b/>
        <vertAlign val="subscript"/>
        <sz val="9"/>
        <color indexed="10"/>
        <rFont val="Geneva"/>
        <family val="0"/>
      </rPr>
      <t>1</t>
    </r>
  </si>
  <si>
    <t>Data Generation Process:</t>
  </si>
  <si>
    <t>n</t>
  </si>
  <si>
    <t>Time (secs)</t>
  </si>
  <si>
    <t>and histogram in the MCSim sheet.</t>
  </si>
  <si>
    <t xml:space="preserve">Notice that the Xs are fixed.  </t>
  </si>
  <si>
    <t>histogram is an approximation of the probability, or long-run frequency, histogram (also known as the sampling distribution</t>
  </si>
  <si>
    <t>and building up the random variable's histogram by taking many repetitions.  The more repetitions, the better the approximation.</t>
  </si>
  <si>
    <t>See CampCont.xls for more explanation.</t>
  </si>
  <si>
    <t>The Probit Model to be Estimated via Non-Linear Least Squares:</t>
  </si>
  <si>
    <r>
      <t>Vote Yes (0/1) =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CampaignContribution</t>
    </r>
  </si>
  <si>
    <t>Notice also that the Xs are sorted by Campaign Contribution</t>
  </si>
  <si>
    <r>
      <t>b</t>
    </r>
    <r>
      <rPr>
        <b/>
        <vertAlign val="subscript"/>
        <sz val="9"/>
        <color indexed="10"/>
        <rFont val="Geneva"/>
        <family val="0"/>
      </rPr>
      <t>0</t>
    </r>
  </si>
  <si>
    <t>Campaign Contribution</t>
  </si>
  <si>
    <r>
      <t xml:space="preserve"> b</t>
    </r>
    <r>
      <rPr>
        <vertAlign val="subscript"/>
        <sz val="12"/>
        <rFont val="Times New Roman"/>
        <family val="1"/>
      </rPr>
      <t>1</t>
    </r>
  </si>
  <si>
    <r>
      <t>b</t>
    </r>
    <r>
      <rPr>
        <b/>
        <vertAlign val="subscript"/>
        <sz val="12"/>
        <color indexed="56"/>
        <rFont val="Times New Roman"/>
        <family val="1"/>
      </rPr>
      <t>1</t>
    </r>
    <r>
      <rPr>
        <b/>
        <sz val="12"/>
        <color indexed="56"/>
        <rFont val="Times New Roman"/>
        <family val="1"/>
      </rPr>
      <t xml:space="preserve"> Summary Statistics</t>
    </r>
  </si>
  <si>
    <t>This sheet is where the Probit NNLS coefficients are found via Solver.</t>
  </si>
  <si>
    <t>The slope coefficient (b1) for each sample is stored.</t>
  </si>
  <si>
    <t>The first 100 b1s are listed in the MCSim sheet and</t>
  </si>
  <si>
    <t>all of the b1s are used to create the summary statistics</t>
  </si>
  <si>
    <t>Excel's Solver to find the estimated coefficients for a Probit model via Non-Linear Least Squares.</t>
  </si>
  <si>
    <t>allows you to run your own Monte Carlo simulation.</t>
  </si>
  <si>
    <t>SSR</t>
  </si>
  <si>
    <t>Predicted</t>
  </si>
  <si>
    <r>
      <t>Residual</t>
    </r>
    <r>
      <rPr>
        <vertAlign val="superscript"/>
        <sz val="10"/>
        <rFont val="Arial"/>
        <family val="2"/>
      </rPr>
      <t>2</t>
    </r>
  </si>
  <si>
    <t>Normal Random Draw</t>
  </si>
  <si>
    <t>Vote Yes?</t>
  </si>
  <si>
    <t>Probability Votes Yes</t>
  </si>
  <si>
    <t>Each sample will generate its own intercept and slope coefficients.  These random variables have probability histograms called sampling distributions.</t>
  </si>
  <si>
    <r>
      <t>This workbook is devoted to exploring the sampling distribution of the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estimate.</t>
    </r>
  </si>
  <si>
    <t>The Key Learning Point:</t>
  </si>
  <si>
    <t>Monte Carlo simulation provides a way to determine the sampling distribution.  It is based on brute-force resampling</t>
  </si>
  <si>
    <r>
      <t xml:space="preserve">This workbook requires that Excel's Solver be installed.  </t>
    </r>
    <r>
      <rPr>
        <sz val="10"/>
        <color indexed="10"/>
        <rFont val="Arial"/>
        <family val="2"/>
      </rPr>
      <t>Before you begin, execute Tools: Solver and click Close.</t>
    </r>
  </si>
  <si>
    <t>If Solver is not in the Tools menu, you must install with the Add-in Manager (execute Tools: Add-Ins).</t>
  </si>
  <si>
    <r>
      <t>If Normal Error Draw &lt; Threshold Level (which is a f(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CampaignContribution), then 1; else 0. </t>
    </r>
  </si>
  <si>
    <r>
      <t>MCSim</t>
    </r>
    <r>
      <rPr>
        <sz val="10"/>
        <rFont val="Arial"/>
        <family val="0"/>
      </rPr>
      <t xml:space="preserve"> sheet (revealed when you click the button in the Data sheet) reports the results of a Monte Carlo simulation and</t>
    </r>
  </si>
  <si>
    <t>There is a formula-based way to find the estimated SE and it is used by the DDV Excel add-in.</t>
  </si>
  <si>
    <t>Compare your MCs with these results.</t>
  </si>
  <si>
    <t>The estimated SE reported by software for the slope coefficient is not the exact SE because the SD of the random draw distribution must be estimated.</t>
  </si>
  <si>
    <r>
      <t>ProbitNLLS</t>
    </r>
    <r>
      <rPr>
        <sz val="10"/>
        <rFont val="Arial"/>
        <family val="2"/>
      </rPr>
      <t xml:space="preserve"> sheet (revealed when you click the button in the Data sheet) contains the necessary information to use </t>
    </r>
  </si>
  <si>
    <r>
      <t xml:space="preserve">Monte Carlo simulation takes a sample and obtains a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coefficient on Campaign Contributions for that sample.  After resampling</t>
    </r>
  </si>
  <si>
    <r>
      <t xml:space="preserve">many times, a histogram of the many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coefficients is created.  This empirical (based on observed Monte Carlo results)</t>
    </r>
  </si>
  <si>
    <r>
      <t xml:space="preserve">of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).  In 10,000 repetitions, the spread of the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estimated coefficients, was 0.0000125.  This number is approximately equal</t>
    </r>
  </si>
  <si>
    <r>
      <t xml:space="preserve">to the true, exact, standard error of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.  The exact SE is based on an infinite number of repetitions.</t>
    </r>
  </si>
  <si>
    <t>Vote Yes</t>
  </si>
  <si>
    <r>
      <t xml:space="preserve">Use the DDV add-in on your sample to get the estimated SE of </t>
    </r>
    <r>
      <rPr>
        <b/>
        <i/>
        <sz val="10"/>
        <color indexed="10"/>
        <rFont val="Arial"/>
        <family val="2"/>
      </rPr>
      <t>b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.</t>
    </r>
  </si>
  <si>
    <t>Instead of all 500 legislators, this sample contains only 100 legislators.  Campaign contribution levels are in increments of</t>
  </si>
  <si>
    <t>$500.  The X values below are the first of each set of 5 from the Data sheet.</t>
  </si>
  <si>
    <t>The Random Draw values are normally realized errors and vote yes is 1 when the error &lt; threshold value; 0 otherwise.</t>
  </si>
  <si>
    <t>Probability Vote Yes</t>
  </si>
  <si>
    <t>There are 500 observations, from $0 to $49,900 by increments of $100.</t>
  </si>
  <si>
    <t>VotesYes</t>
  </si>
  <si>
    <r>
      <t xml:space="preserve">The </t>
    </r>
    <r>
      <rPr>
        <i/>
        <sz val="10"/>
        <rFont val="Arial"/>
        <family val="2"/>
      </rPr>
      <t>Data</t>
    </r>
    <r>
      <rPr>
        <sz val="10"/>
        <rFont val="Arial"/>
        <family val="2"/>
      </rPr>
      <t xml:space="preserve"> sheet contains the parameters and independent variable data.</t>
    </r>
  </si>
  <si>
    <t>Intro to NLLSMCSim.xls</t>
  </si>
  <si>
    <t>This workbook implements the Campaign Contribution Model and allows for Monte Carlo simulation to analyze the model.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</si>
</sst>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"/>
    <numFmt numFmtId="169" formatCode="0.0%"/>
    <numFmt numFmtId="170" formatCode="&quot;C&quot;#,##0_);\(&quot;C&quot;#,##0\)"/>
    <numFmt numFmtId="171" formatCode="&quot;C&quot;#,##0_);[Red]\(&quot;C&quot;#,##0\)"/>
    <numFmt numFmtId="172" formatCode="&quot;C&quot;#,##0.00_);\(&quot;C&quot;#,##0.00\)"/>
    <numFmt numFmtId="173" formatCode="&quot;C&quot;#,##0.00_);[Red]\(&quot;C&quot;#,##0.00\)"/>
    <numFmt numFmtId="174" formatCode="_(&quot;C&quot;* #,##0_);_(&quot;C&quot;* \(#,##0\);_(&quot;C&quot;* &quot;-&quot;_);_(@_)"/>
    <numFmt numFmtId="175" formatCode="_(&quot;C&quot;* #,##0.00_);_(&quot;C&quot;* \(#,##0.00\);_(&quot;C&quot;* &quot;-&quot;??_);_(@_)"/>
    <numFmt numFmtId="176" formatCode="0.00000000"/>
    <numFmt numFmtId="177" formatCode="0.0000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00_);_(&quot;$&quot;* \(#,##0.00000\);_(&quot;$&quot;* &quot;-&quot;??_);_(@_)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0E+00;\_"/>
    <numFmt numFmtId="206" formatCode="0.000E+00;\_"/>
    <numFmt numFmtId="207" formatCode="0.00000E+00"/>
    <numFmt numFmtId="208" formatCode="&quot;$&quot;#,##0.0_);[Red]\(&quot;$&quot;#,##0.0\)"/>
    <numFmt numFmtId="209" formatCode="0.000%"/>
    <numFmt numFmtId="210" formatCode="&quot;$&quot;#,##0.000_);[Red]\(&quot;$&quot;#,##0.000\)"/>
    <numFmt numFmtId="211" formatCode="&quot;$&quot;#,##0.0000_);[Red]\(&quot;$&quot;#,##0.0000\)"/>
    <numFmt numFmtId="212" formatCode="0.0000E+00"/>
    <numFmt numFmtId="213" formatCode="&quot;$&quot;#,##0"/>
    <numFmt numFmtId="214" formatCode="0.0000%"/>
  </numFmts>
  <fonts count="34">
    <font>
      <sz val="10"/>
      <name val="Arial"/>
      <family val="0"/>
    </font>
    <font>
      <sz val="8"/>
      <name val="Arial"/>
      <family val="2"/>
    </font>
    <font>
      <sz val="12"/>
      <color indexed="56"/>
      <name val="Arial"/>
      <family val="2"/>
    </font>
    <font>
      <sz val="9"/>
      <name val="Geneva"/>
      <family val="0"/>
    </font>
    <font>
      <sz val="12"/>
      <name val="Times New Roman"/>
      <family val="0"/>
    </font>
    <font>
      <sz val="24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9"/>
      <name val="Times New Roman"/>
      <family val="0"/>
    </font>
    <font>
      <b/>
      <u val="single"/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5.5"/>
      <name val="Arial"/>
      <family val="2"/>
    </font>
    <font>
      <sz val="5.75"/>
      <name val="Arial"/>
      <family val="2"/>
    </font>
    <font>
      <sz val="9.25"/>
      <name val="Arial"/>
      <family val="0"/>
    </font>
    <font>
      <b/>
      <sz val="9"/>
      <color indexed="10"/>
      <name val="Geneva"/>
      <family val="0"/>
    </font>
    <font>
      <b/>
      <vertAlign val="subscript"/>
      <sz val="9"/>
      <color indexed="10"/>
      <name val="Geneva"/>
      <family val="0"/>
    </font>
    <font>
      <b/>
      <sz val="9"/>
      <color indexed="10"/>
      <name val="Symbol"/>
      <family val="0"/>
    </font>
    <font>
      <b/>
      <sz val="9"/>
      <name val="Geneva"/>
      <family val="0"/>
    </font>
    <font>
      <b/>
      <sz val="10"/>
      <color indexed="10"/>
      <name val="Arial"/>
      <family val="2"/>
    </font>
    <font>
      <b/>
      <sz val="9"/>
      <color indexed="12"/>
      <name val="Geneva"/>
      <family val="0"/>
    </font>
    <font>
      <sz val="10"/>
      <color indexed="10"/>
      <name val="Arial"/>
      <family val="2"/>
    </font>
    <font>
      <vertAlign val="subscript"/>
      <sz val="12"/>
      <name val="Times New Roman"/>
      <family val="1"/>
    </font>
    <font>
      <b/>
      <vertAlign val="subscript"/>
      <sz val="12"/>
      <color indexed="56"/>
      <name val="Times New Roman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name val="Charco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21" applyFont="1" applyAlignment="1">
      <alignment horizontal="left"/>
      <protection/>
    </xf>
    <xf numFmtId="0" fontId="4" fillId="0" borderId="0" xfId="25" applyNumberFormat="1" applyAlignment="1">
      <alignment horizontal="center"/>
    </xf>
    <xf numFmtId="0" fontId="4" fillId="0" borderId="0" xfId="21">
      <alignment/>
      <protection/>
    </xf>
    <xf numFmtId="0" fontId="0" fillId="0" borderId="0" xfId="24">
      <alignment/>
      <protection/>
    </xf>
    <xf numFmtId="0" fontId="3" fillId="0" borderId="0" xfId="23">
      <alignment/>
      <protection/>
    </xf>
    <xf numFmtId="9" fontId="4" fillId="0" borderId="1" xfId="25" applyFont="1" applyBorder="1" applyAlignment="1">
      <alignment horizontal="center"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>
      <alignment/>
      <protection/>
    </xf>
    <xf numFmtId="0" fontId="7" fillId="0" borderId="0" xfId="21" applyFont="1">
      <alignment/>
      <protection/>
    </xf>
    <xf numFmtId="0" fontId="4" fillId="0" borderId="3" xfId="21" applyBorder="1">
      <alignment/>
      <protection/>
    </xf>
    <xf numFmtId="0" fontId="4" fillId="0" borderId="4" xfId="21" applyBorder="1">
      <alignment/>
      <protection/>
    </xf>
    <xf numFmtId="0" fontId="4" fillId="0" borderId="0" xfId="21" applyBorder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4" fillId="0" borderId="1" xfId="21" applyBorder="1">
      <alignment/>
      <protection/>
    </xf>
    <xf numFmtId="0" fontId="10" fillId="0" borderId="0" xfId="21" applyFont="1">
      <alignment/>
      <protection/>
    </xf>
    <xf numFmtId="0" fontId="4" fillId="0" borderId="5" xfId="21" applyBorder="1">
      <alignment/>
      <protection/>
    </xf>
    <xf numFmtId="0" fontId="4" fillId="0" borderId="3" xfId="21" applyFont="1" applyBorder="1" applyAlignment="1">
      <alignment horizontal="right" wrapText="1"/>
      <protection/>
    </xf>
    <xf numFmtId="0" fontId="4" fillId="0" borderId="3" xfId="21" applyBorder="1" applyAlignment="1">
      <alignment horizontal="right"/>
      <protection/>
    </xf>
    <xf numFmtId="0" fontId="4" fillId="0" borderId="4" xfId="21" applyBorder="1" applyAlignment="1">
      <alignment horizontal="right"/>
      <protection/>
    </xf>
    <xf numFmtId="0" fontId="4" fillId="0" borderId="6" xfId="25" applyNumberFormat="1" applyBorder="1" applyAlignment="1">
      <alignment/>
    </xf>
    <xf numFmtId="0" fontId="4" fillId="0" borderId="5" xfId="25" applyNumberFormat="1" applyBorder="1" applyAlignment="1">
      <alignment/>
    </xf>
    <xf numFmtId="0" fontId="3" fillId="0" borderId="0" xfId="22">
      <alignment/>
      <protection/>
    </xf>
    <xf numFmtId="0" fontId="14" fillId="0" borderId="7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14" fillId="0" borderId="5" xfId="22" applyFont="1" applyBorder="1" applyAlignment="1">
      <alignment horizontal="center"/>
      <protection/>
    </xf>
    <xf numFmtId="0" fontId="3" fillId="0" borderId="1" xfId="22" applyBorder="1" applyAlignment="1">
      <alignment horizontal="center" wrapText="1"/>
      <protection/>
    </xf>
    <xf numFmtId="169" fontId="14" fillId="0" borderId="1" xfId="25" applyNumberFormat="1" applyFont="1" applyBorder="1" applyAlignment="1">
      <alignment horizontal="center" wrapText="1"/>
    </xf>
    <xf numFmtId="0" fontId="3" fillId="0" borderId="0" xfId="22" applyAlignment="1">
      <alignment horizontal="center"/>
      <protection/>
    </xf>
    <xf numFmtId="169" fontId="14" fillId="0" borderId="0" xfId="25" applyNumberFormat="1" applyFont="1" applyAlignment="1">
      <alignment horizontal="center"/>
    </xf>
    <xf numFmtId="2" fontId="14" fillId="0" borderId="0" xfId="22" applyNumberFormat="1" applyFont="1" applyAlignment="1">
      <alignment horizontal="center"/>
      <protection/>
    </xf>
    <xf numFmtId="2" fontId="14" fillId="0" borderId="1" xfId="22" applyNumberFormat="1" applyFont="1" applyBorder="1" applyAlignment="1">
      <alignment horizontal="center" wrapText="1"/>
      <protection/>
    </xf>
    <xf numFmtId="169" fontId="17" fillId="0" borderId="0" xfId="25" applyNumberFormat="1" applyFont="1" applyAlignment="1">
      <alignment horizontal="left"/>
    </xf>
    <xf numFmtId="169" fontId="19" fillId="0" borderId="0" xfId="25" applyNumberFormat="1" applyFont="1" applyAlignment="1">
      <alignment horizontal="left"/>
    </xf>
    <xf numFmtId="0" fontId="0" fillId="0" borderId="1" xfId="0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1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1" fontId="4" fillId="0" borderId="8" xfId="21" applyNumberFormat="1" applyBorder="1" applyAlignment="1">
      <alignment horizontal="center" vertical="center"/>
      <protection/>
    </xf>
    <xf numFmtId="0" fontId="4" fillId="0" borderId="2" xfId="21" applyFont="1" applyBorder="1" applyAlignment="1">
      <alignment horizontal="right"/>
      <protection/>
    </xf>
    <xf numFmtId="0" fontId="4" fillId="0" borderId="8" xfId="25" applyNumberFormat="1" applyBorder="1" applyAlignment="1">
      <alignment horizontal="center"/>
    </xf>
    <xf numFmtId="0" fontId="4" fillId="0" borderId="3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3" xfId="21" applyBorder="1" applyAlignment="1">
      <alignment horizontal="center"/>
      <protection/>
    </xf>
    <xf numFmtId="0" fontId="4" fillId="0" borderId="4" xfId="21" applyBorder="1" applyAlignment="1">
      <alignment horizontal="center"/>
      <protection/>
    </xf>
    <xf numFmtId="169" fontId="14" fillId="0" borderId="0" xfId="25" applyNumberFormat="1" applyFont="1" applyFill="1" applyAlignment="1">
      <alignment horizontal="center"/>
    </xf>
    <xf numFmtId="2" fontId="14" fillId="0" borderId="0" xfId="22" applyNumberFormat="1" applyFont="1" applyFill="1" applyAlignment="1">
      <alignment horizontal="center"/>
      <protection/>
    </xf>
    <xf numFmtId="0" fontId="3" fillId="0" borderId="1" xfId="22" applyFont="1" applyBorder="1" applyAlignment="1">
      <alignment horizontal="center" wrapText="1"/>
      <protection/>
    </xf>
    <xf numFmtId="0" fontId="3" fillId="0" borderId="0" xfId="17" applyNumberFormat="1" applyFill="1" applyAlignment="1">
      <alignment/>
    </xf>
    <xf numFmtId="0" fontId="0" fillId="0" borderId="1" xfId="0" applyBorder="1" applyAlignment="1">
      <alignment horizontal="center" wrapText="1"/>
    </xf>
    <xf numFmtId="169" fontId="14" fillId="0" borderId="0" xfId="25" applyNumberFormat="1" applyFont="1" applyAlignment="1">
      <alignment horizontal="left"/>
    </xf>
    <xf numFmtId="0" fontId="18" fillId="0" borderId="1" xfId="0" applyFont="1" applyBorder="1" applyAlignment="1">
      <alignment horizontal="center" wrapText="1"/>
    </xf>
    <xf numFmtId="177" fontId="4" fillId="0" borderId="6" xfId="25" applyNumberFormat="1" applyBorder="1" applyAlignment="1">
      <alignment horizontal="center"/>
    </xf>
    <xf numFmtId="177" fontId="4" fillId="0" borderId="5" xfId="25" applyNumberFormat="1" applyBorder="1" applyAlignment="1">
      <alignment horizontal="center"/>
    </xf>
    <xf numFmtId="0" fontId="16" fillId="0" borderId="9" xfId="22" applyFont="1" applyBorder="1" applyAlignment="1">
      <alignment horizontal="center"/>
      <protection/>
    </xf>
    <xf numFmtId="0" fontId="16" fillId="0" borderId="4" xfId="22" applyFont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22" applyFill="1">
      <alignment/>
      <protection/>
    </xf>
    <xf numFmtId="0" fontId="3" fillId="0" borderId="0" xfId="22" applyFill="1" applyAlignment="1">
      <alignment horizontal="center"/>
      <protection/>
    </xf>
    <xf numFmtId="0" fontId="0" fillId="0" borderId="0" xfId="0" applyFont="1" applyAlignment="1">
      <alignment/>
    </xf>
    <xf numFmtId="0" fontId="4" fillId="0" borderId="0" xfId="21" applyFont="1">
      <alignment/>
      <protection/>
    </xf>
    <xf numFmtId="0" fontId="4" fillId="0" borderId="6" xfId="21" applyBorder="1">
      <alignment/>
      <protection/>
    </xf>
    <xf numFmtId="2" fontId="4" fillId="0" borderId="1" xfId="21" applyNumberFormat="1" applyBorder="1">
      <alignment/>
      <protection/>
    </xf>
    <xf numFmtId="0" fontId="0" fillId="0" borderId="1" xfId="24" applyBorder="1">
      <alignment/>
      <protection/>
    </xf>
    <xf numFmtId="2" fontId="18" fillId="0" borderId="0" xfId="22" applyNumberFormat="1" applyFont="1" applyAlignment="1">
      <alignment horizontal="left"/>
      <protection/>
    </xf>
    <xf numFmtId="0" fontId="6" fillId="0" borderId="10" xfId="21" applyFont="1" applyBorder="1" applyAlignment="1">
      <alignment horizontal="center" wrapText="1"/>
      <protection/>
    </xf>
    <xf numFmtId="0" fontId="6" fillId="0" borderId="11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 wrapText="1"/>
      <protection/>
    </xf>
    <xf numFmtId="0" fontId="6" fillId="0" borderId="7" xfId="21" applyFont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Carlo" xfId="21"/>
    <cellStyle name="Normal_MortDisc" xfId="22"/>
    <cellStyle name="Normal_Skiing" xfId="23"/>
    <cellStyle name="Normal_TwoBoxMonteCarlo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Empirical Histogram for 10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885"/>
          <c:h val="0.804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MCSim!$AK$1:$AK$64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MCSim!$AL$1:$AL$64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5280873"/>
        <c:axId val="17820418"/>
      </c:scatterChart>
      <c:valAx>
        <c:axId val="152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b1 estimates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820418"/>
        <c:crosses val="autoZero"/>
        <c:crossBetween val="midCat"/>
        <c:dispUnits/>
      </c:valAx>
      <c:valAx>
        <c:axId val="17820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80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9</xdr:col>
      <xdr:colOff>0</xdr:colOff>
      <xdr:row>17</xdr:row>
      <xdr:rowOff>200025</xdr:rowOff>
    </xdr:to>
    <xdr:graphicFrame>
      <xdr:nvGraphicFramePr>
        <xdr:cNvPr id="1" name="EmpHist"/>
        <xdr:cNvGraphicFramePr/>
      </xdr:nvGraphicFramePr>
      <xdr:xfrm>
        <a:off x="4457700" y="1714500"/>
        <a:ext cx="41433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21</xdr:row>
      <xdr:rowOff>0</xdr:rowOff>
    </xdr:from>
    <xdr:to>
      <xdr:col>9</xdr:col>
      <xdr:colOff>9525</xdr:colOff>
      <xdr:row>37</xdr:row>
      <xdr:rowOff>38100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533900"/>
          <a:ext cx="4152900" cy="323850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40"/>
  <sheetViews>
    <sheetView showGridLines="0" tabSelected="1" workbookViewId="0" topLeftCell="A1">
      <selection activeCell="A3" sqref="A3"/>
    </sheetView>
  </sheetViews>
  <sheetFormatPr defaultColWidth="9.140625" defaultRowHeight="12.75"/>
  <cols>
    <col min="2" max="2" width="10.57421875" style="0" customWidth="1"/>
  </cols>
  <sheetData>
    <row r="1" ht="15.75">
      <c r="A1" s="76" t="s">
        <v>61</v>
      </c>
    </row>
    <row r="2" s="65" customFormat="1" ht="12.75">
      <c r="A2" s="37" t="s">
        <v>62</v>
      </c>
    </row>
    <row r="3" s="65" customFormat="1" ht="12.75">
      <c r="A3" s="37"/>
    </row>
    <row r="4" spans="1:2" s="65" customFormat="1" ht="12.75">
      <c r="A4" t="s">
        <v>40</v>
      </c>
      <c r="B4"/>
    </row>
    <row r="5" spans="1:2" s="65" customFormat="1" ht="12.75">
      <c r="A5"/>
      <c r="B5" t="s">
        <v>41</v>
      </c>
    </row>
    <row r="6" s="65" customFormat="1" ht="12.75"/>
    <row r="8" ht="12.75">
      <c r="A8" t="s">
        <v>9</v>
      </c>
    </row>
    <row r="9" ht="15.75">
      <c r="A9" t="s">
        <v>42</v>
      </c>
    </row>
    <row r="10" ht="12.75">
      <c r="A10" t="s">
        <v>16</v>
      </c>
    </row>
    <row r="12" ht="12.75">
      <c r="A12" t="s">
        <v>17</v>
      </c>
    </row>
    <row r="13" ht="15.75">
      <c r="A13" t="s">
        <v>18</v>
      </c>
    </row>
    <row r="15" ht="12.75">
      <c r="A15" t="s">
        <v>36</v>
      </c>
    </row>
    <row r="16" ht="15.75">
      <c r="A16" t="s">
        <v>37</v>
      </c>
    </row>
    <row r="18" ht="12.75">
      <c r="A18" t="s">
        <v>60</v>
      </c>
    </row>
    <row r="19" ht="12.75">
      <c r="A19" t="s">
        <v>13</v>
      </c>
    </row>
    <row r="20" ht="12.75">
      <c r="A20" t="s">
        <v>19</v>
      </c>
    </row>
    <row r="21" ht="12.75">
      <c r="A21" t="s">
        <v>58</v>
      </c>
    </row>
    <row r="23" ht="12.75">
      <c r="A23" s="75" t="s">
        <v>47</v>
      </c>
    </row>
    <row r="24" ht="12.75">
      <c r="A24" t="s">
        <v>28</v>
      </c>
    </row>
    <row r="26" ht="12.75">
      <c r="A26" s="75" t="s">
        <v>43</v>
      </c>
    </row>
    <row r="27" ht="12.75">
      <c r="A27" t="s">
        <v>29</v>
      </c>
    </row>
    <row r="29" ht="12.75">
      <c r="A29" t="s">
        <v>38</v>
      </c>
    </row>
    <row r="30" ht="15.75">
      <c r="A30" t="s">
        <v>48</v>
      </c>
    </row>
    <row r="31" ht="15.75">
      <c r="A31" t="s">
        <v>49</v>
      </c>
    </row>
    <row r="32" ht="12.75">
      <c r="A32" t="s">
        <v>14</v>
      </c>
    </row>
    <row r="33" ht="15.75">
      <c r="A33" t="s">
        <v>50</v>
      </c>
    </row>
    <row r="34" ht="15.75">
      <c r="A34" t="s">
        <v>51</v>
      </c>
    </row>
    <row r="36" ht="12.75">
      <c r="A36" t="s">
        <v>39</v>
      </c>
    </row>
    <row r="37" ht="12.75">
      <c r="A37" t="s">
        <v>15</v>
      </c>
    </row>
    <row r="39" ht="12.75">
      <c r="A39" t="s">
        <v>44</v>
      </c>
    </row>
    <row r="40" ht="12.75">
      <c r="A40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J100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23" customWidth="1"/>
    <col min="2" max="3" width="11.421875" style="29" customWidth="1"/>
    <col min="4" max="4" width="12.57421875" style="30" customWidth="1"/>
    <col min="5" max="5" width="11.7109375" style="31" customWidth="1"/>
    <col min="6" max="9" width="11.7109375" style="0" customWidth="1"/>
    <col min="10" max="10" width="11.28125" style="0" customWidth="1"/>
    <col min="11" max="16384" width="11.421875" style="23" customWidth="1"/>
  </cols>
  <sheetData>
    <row r="3" ht="13.5" thickBot="1"/>
    <row r="4" spans="1:3" ht="13.5">
      <c r="A4" s="59" t="s">
        <v>20</v>
      </c>
      <c r="B4" s="24">
        <v>-2.878</v>
      </c>
      <c r="C4" s="25"/>
    </row>
    <row r="5" spans="1:3" ht="14.25" thickBot="1">
      <c r="A5" s="60" t="s">
        <v>8</v>
      </c>
      <c r="B5" s="26">
        <v>0.000115</v>
      </c>
      <c r="C5" s="25"/>
    </row>
    <row r="6" spans="1:3" ht="12.75">
      <c r="A6"/>
      <c r="B6"/>
      <c r="C6"/>
    </row>
    <row r="7" spans="1:4" ht="12.75">
      <c r="A7"/>
      <c r="B7"/>
      <c r="C7"/>
      <c r="D7" s="55"/>
    </row>
    <row r="8" spans="1:4" ht="12.75">
      <c r="A8"/>
      <c r="B8"/>
      <c r="C8"/>
      <c r="D8" s="55"/>
    </row>
    <row r="9" ht="12.75">
      <c r="D9" s="55"/>
    </row>
    <row r="10" spans="1:10" s="27" customFormat="1" ht="39" thickBot="1">
      <c r="A10" s="52" t="s">
        <v>21</v>
      </c>
      <c r="B10" s="28" t="s">
        <v>35</v>
      </c>
      <c r="C10" s="32" t="s">
        <v>6</v>
      </c>
      <c r="D10" s="56" t="s">
        <v>33</v>
      </c>
      <c r="E10" s="54" t="s">
        <v>34</v>
      </c>
      <c r="F10" s="54"/>
      <c r="G10" s="54"/>
      <c r="H10" s="54"/>
      <c r="I10" s="54"/>
      <c r="J10" s="54"/>
    </row>
    <row r="11" spans="1:5" ht="12.75">
      <c r="A11" s="53">
        <v>0</v>
      </c>
      <c r="B11" s="50">
        <f>NORMDIST(intercept+slope*A11,0,1,1)</f>
        <v>0.0020010256958336026</v>
      </c>
      <c r="C11" s="51">
        <f>NORMINV(B11,0,1)</f>
        <v>-2.878000000000018</v>
      </c>
      <c r="D11" s="61">
        <f>NORMALRANDOM(0,1)</f>
        <v>0.5365599313788455</v>
      </c>
      <c r="E11" s="62">
        <f>IF(D11&lt;C11,1,0)</f>
        <v>0</v>
      </c>
    </row>
    <row r="12" spans="1:5" ht="12.75">
      <c r="A12" s="53">
        <v>100</v>
      </c>
      <c r="B12" s="50">
        <f aca="true" t="shared" si="0" ref="B12:B75">NORMDIST(intercept+slope*A12,0,1,1)</f>
        <v>0.0020751907965530503</v>
      </c>
      <c r="C12" s="51">
        <f aca="true" t="shared" si="1" ref="C12:C75">NORMINV(B12,0,1)</f>
        <v>-2.8665000000000473</v>
      </c>
      <c r="D12" s="61">
        <f aca="true" t="shared" si="2" ref="D12:D74">NORMALRANDOM(0,1)</f>
        <v>0.7488589823405637</v>
      </c>
      <c r="E12" s="62">
        <f aca="true" t="shared" si="3" ref="E12:E75">IF(D12&lt;C12,1,0)</f>
        <v>0</v>
      </c>
    </row>
    <row r="13" spans="1:5" ht="12.75">
      <c r="A13" s="53">
        <v>200</v>
      </c>
      <c r="B13" s="50">
        <f t="shared" si="0"/>
        <v>0.0021518414465644398</v>
      </c>
      <c r="C13" s="51">
        <f t="shared" si="1"/>
        <v>-2.8550000000000093</v>
      </c>
      <c r="D13" s="61">
        <f t="shared" si="2"/>
        <v>0.3618081348018631</v>
      </c>
      <c r="E13" s="62">
        <f t="shared" si="3"/>
        <v>0</v>
      </c>
    </row>
    <row r="14" spans="1:5" ht="12.75">
      <c r="A14" s="53">
        <v>300</v>
      </c>
      <c r="B14" s="50">
        <f t="shared" si="0"/>
        <v>0.0022310504699287748</v>
      </c>
      <c r="C14" s="51">
        <f t="shared" si="1"/>
        <v>-2.8435000000000477</v>
      </c>
      <c r="D14" s="61">
        <f t="shared" si="2"/>
        <v>-1.0661082965739883</v>
      </c>
      <c r="E14" s="62">
        <f t="shared" si="3"/>
        <v>0</v>
      </c>
    </row>
    <row r="15" spans="1:5" ht="12.75">
      <c r="A15" s="53">
        <v>400</v>
      </c>
      <c r="B15" s="50">
        <f t="shared" si="0"/>
        <v>0.0023128924334315792</v>
      </c>
      <c r="C15" s="51">
        <f t="shared" si="1"/>
        <v>-2.8319999999999936</v>
      </c>
      <c r="D15" s="61">
        <f t="shared" si="2"/>
        <v>0.6818721443752229</v>
      </c>
      <c r="E15" s="62">
        <f t="shared" si="3"/>
        <v>0</v>
      </c>
    </row>
    <row r="16" spans="1:5" ht="12.75">
      <c r="A16" s="53">
        <v>500</v>
      </c>
      <c r="B16" s="50">
        <f t="shared" si="0"/>
        <v>0.0023974436745554106</v>
      </c>
      <c r="C16" s="51">
        <f t="shared" si="1"/>
        <v>-2.8204999999999893</v>
      </c>
      <c r="D16" s="61">
        <f t="shared" si="2"/>
        <v>1.703516200560518</v>
      </c>
      <c r="E16" s="62">
        <f t="shared" si="3"/>
        <v>0</v>
      </c>
    </row>
    <row r="17" spans="1:5" ht="12.75">
      <c r="A17" s="53">
        <v>600</v>
      </c>
      <c r="B17" s="50">
        <f t="shared" si="0"/>
        <v>0.0024847823294325</v>
      </c>
      <c r="C17" s="51">
        <f t="shared" si="1"/>
        <v>-2.8090000000000046</v>
      </c>
      <c r="D17" s="61">
        <f t="shared" si="2"/>
        <v>2.31549088911052</v>
      </c>
      <c r="E17" s="62">
        <f t="shared" si="3"/>
        <v>0</v>
      </c>
    </row>
    <row r="18" spans="1:5" ht="12.75">
      <c r="A18" s="53">
        <v>700</v>
      </c>
      <c r="B18" s="50">
        <f t="shared" si="0"/>
        <v>0.002574988360755537</v>
      </c>
      <c r="C18" s="51">
        <f t="shared" si="1"/>
        <v>-2.7975000000000154</v>
      </c>
      <c r="D18" s="61">
        <f t="shared" si="2"/>
        <v>1.9370649843142713</v>
      </c>
      <c r="E18" s="62">
        <f t="shared" si="3"/>
        <v>0</v>
      </c>
    </row>
    <row r="19" spans="1:5" ht="12.75">
      <c r="A19" s="53">
        <v>800</v>
      </c>
      <c r="B19" s="50">
        <f t="shared" si="0"/>
        <v>0.002668143585624394</v>
      </c>
      <c r="C19" s="51">
        <f t="shared" si="1"/>
        <v>-2.7860000000000245</v>
      </c>
      <c r="D19" s="61">
        <f t="shared" si="2"/>
        <v>0.7448653218796407</v>
      </c>
      <c r="E19" s="62">
        <f t="shared" si="3"/>
        <v>0</v>
      </c>
    </row>
    <row r="20" spans="1:5" ht="12.75">
      <c r="A20" s="53">
        <v>900</v>
      </c>
      <c r="B20" s="50">
        <f t="shared" si="0"/>
        <v>0.002764331703314582</v>
      </c>
      <c r="C20" s="51">
        <f t="shared" si="1"/>
        <v>-2.774499999999988</v>
      </c>
      <c r="D20" s="61">
        <f t="shared" si="2"/>
        <v>1.4123929048902415</v>
      </c>
      <c r="E20" s="62">
        <f t="shared" si="3"/>
        <v>0</v>
      </c>
    </row>
    <row r="21" spans="1:5" ht="12.75">
      <c r="A21" s="53">
        <v>1000</v>
      </c>
      <c r="B21" s="50">
        <f t="shared" si="0"/>
        <v>0.002863638322935236</v>
      </c>
      <c r="C21" s="51">
        <f t="shared" si="1"/>
        <v>-2.7629999999999884</v>
      </c>
      <c r="D21" s="61">
        <f t="shared" si="2"/>
        <v>1.3809689750890817</v>
      </c>
      <c r="E21" s="62">
        <f t="shared" si="3"/>
        <v>0</v>
      </c>
    </row>
    <row r="22" spans="1:5" ht="12.75">
      <c r="A22" s="53">
        <v>1100</v>
      </c>
      <c r="B22" s="50">
        <f t="shared" si="0"/>
        <v>0.002966150990967309</v>
      </c>
      <c r="C22" s="51">
        <f t="shared" si="1"/>
        <v>-2.7515</v>
      </c>
      <c r="D22" s="61">
        <f t="shared" si="2"/>
        <v>1.1598437422407128</v>
      </c>
      <c r="E22" s="62">
        <f t="shared" si="3"/>
        <v>0</v>
      </c>
    </row>
    <row r="23" spans="1:5" ht="12.75">
      <c r="A23" s="53">
        <v>1200</v>
      </c>
      <c r="B23" s="50">
        <f t="shared" si="0"/>
        <v>0.003071959218650555</v>
      </c>
      <c r="C23" s="51">
        <f t="shared" si="1"/>
        <v>-2.7400000000000126</v>
      </c>
      <c r="D23" s="61">
        <f t="shared" si="2"/>
        <v>0.4889903155452321</v>
      </c>
      <c r="E23" s="62">
        <f t="shared" si="3"/>
        <v>0</v>
      </c>
    </row>
    <row r="24" spans="1:5" ht="12.75">
      <c r="A24" s="53">
        <v>1300</v>
      </c>
      <c r="B24" s="50">
        <f t="shared" si="0"/>
        <v>0.003181154509197648</v>
      </c>
      <c r="C24" s="51">
        <f t="shared" si="1"/>
        <v>-2.728499999999996</v>
      </c>
      <c r="D24" s="61">
        <f t="shared" si="2"/>
        <v>-0.4291978801240055</v>
      </c>
      <c r="E24" s="62">
        <f t="shared" si="3"/>
        <v>0</v>
      </c>
    </row>
    <row r="25" spans="1:5" ht="12.75">
      <c r="A25" s="53">
        <v>1400</v>
      </c>
      <c r="B25" s="50">
        <f t="shared" si="0"/>
        <v>0.0032938303848148998</v>
      </c>
      <c r="C25" s="51">
        <f t="shared" si="1"/>
        <v>-2.7170000000000343</v>
      </c>
      <c r="D25" s="61">
        <f t="shared" si="2"/>
        <v>2.496806350750545</v>
      </c>
      <c r="E25" s="62">
        <f t="shared" si="3"/>
        <v>0</v>
      </c>
    </row>
    <row r="26" spans="1:5" ht="12.75">
      <c r="A26" s="53">
        <v>1500</v>
      </c>
      <c r="B26" s="50">
        <f t="shared" si="0"/>
        <v>0.0034100824135010477</v>
      </c>
      <c r="C26" s="51">
        <f t="shared" si="1"/>
        <v>-2.7055000000000256</v>
      </c>
      <c r="D26" s="61">
        <f t="shared" si="2"/>
        <v>0.864291584934333</v>
      </c>
      <c r="E26" s="62">
        <f t="shared" si="3"/>
        <v>0</v>
      </c>
    </row>
    <row r="27" spans="1:5" ht="12.75">
      <c r="A27" s="53">
        <v>1600</v>
      </c>
      <c r="B27" s="50">
        <f t="shared" si="0"/>
        <v>0.0035300082356023443</v>
      </c>
      <c r="C27" s="51">
        <f t="shared" si="1"/>
        <v>-2.6939999999999893</v>
      </c>
      <c r="D27" s="61">
        <f t="shared" si="2"/>
        <v>0.45252475635892586</v>
      </c>
      <c r="E27" s="62">
        <f t="shared" si="3"/>
        <v>0</v>
      </c>
    </row>
    <row r="28" spans="1:5" ht="12.75">
      <c r="A28" s="53">
        <v>1700</v>
      </c>
      <c r="B28" s="50">
        <f t="shared" si="0"/>
        <v>0.003653707590095534</v>
      </c>
      <c r="C28" s="51">
        <f t="shared" si="1"/>
        <v>-2.6825000000000063</v>
      </c>
      <c r="D28" s="61">
        <f t="shared" si="2"/>
        <v>-0.25359618627297587</v>
      </c>
      <c r="E28" s="62">
        <f t="shared" si="3"/>
        <v>0</v>
      </c>
    </row>
    <row r="29" spans="1:5" ht="12.75">
      <c r="A29" s="53">
        <v>1800</v>
      </c>
      <c r="B29" s="50">
        <f t="shared" si="0"/>
        <v>0.0037812823405770635</v>
      </c>
      <c r="C29" s="51">
        <f t="shared" si="1"/>
        <v>-2.670999999999986</v>
      </c>
      <c r="D29" s="61">
        <f t="shared" si="2"/>
        <v>1.7684492601618005</v>
      </c>
      <c r="E29" s="62">
        <f t="shared" si="3"/>
        <v>0</v>
      </c>
    </row>
    <row r="30" spans="1:5" ht="12.75">
      <c r="A30" s="53">
        <v>1900</v>
      </c>
      <c r="B30" s="50">
        <f t="shared" si="0"/>
        <v>0.003912836500923111</v>
      </c>
      <c r="C30" s="51">
        <f t="shared" si="1"/>
        <v>-2.6594999999999835</v>
      </c>
      <c r="D30" s="61">
        <f t="shared" si="2"/>
        <v>0.8000317946400813</v>
      </c>
      <c r="E30" s="62">
        <f t="shared" si="3"/>
        <v>0</v>
      </c>
    </row>
    <row r="31" spans="1:5" ht="12.75">
      <c r="A31" s="53">
        <v>2000</v>
      </c>
      <c r="B31" s="50">
        <f t="shared" si="0"/>
        <v>0.004048476260604561</v>
      </c>
      <c r="C31" s="51">
        <f t="shared" si="1"/>
        <v>-2.6480000000000095</v>
      </c>
      <c r="D31" s="61">
        <f t="shared" si="2"/>
        <v>1.1029331384696497</v>
      </c>
      <c r="E31" s="62">
        <f t="shared" si="3"/>
        <v>0</v>
      </c>
    </row>
    <row r="32" spans="1:5" ht="12.75">
      <c r="A32" s="53">
        <v>2100</v>
      </c>
      <c r="B32" s="50">
        <f t="shared" si="0"/>
        <v>0.004188310009618279</v>
      </c>
      <c r="C32" s="51">
        <f t="shared" si="1"/>
        <v>-2.6365000000000194</v>
      </c>
      <c r="D32" s="61">
        <f t="shared" si="2"/>
        <v>0.9087958412133053</v>
      </c>
      <c r="E32" s="62">
        <f t="shared" si="3"/>
        <v>0</v>
      </c>
    </row>
    <row r="33" spans="1:5" ht="12.75">
      <c r="A33" s="53">
        <v>2200</v>
      </c>
      <c r="B33" s="50">
        <f t="shared" si="0"/>
        <v>0.004332448363012498</v>
      </c>
      <c r="C33" s="51">
        <f t="shared" si="1"/>
        <v>-2.625000000000014</v>
      </c>
      <c r="D33" s="61">
        <f t="shared" si="2"/>
        <v>0.1402375332954948</v>
      </c>
      <c r="E33" s="62">
        <f t="shared" si="3"/>
        <v>0</v>
      </c>
    </row>
    <row r="34" spans="1:5" ht="12.75">
      <c r="A34" s="53">
        <v>2300</v>
      </c>
      <c r="B34" s="50">
        <f t="shared" si="0"/>
        <v>0.004481004184976656</v>
      </c>
      <c r="C34" s="51">
        <f t="shared" si="1"/>
        <v>-2.6135000000000073</v>
      </c>
      <c r="D34" s="61">
        <f t="shared" si="2"/>
        <v>1.2344522008052032</v>
      </c>
      <c r="E34" s="62">
        <f t="shared" si="3"/>
        <v>0</v>
      </c>
    </row>
    <row r="35" spans="1:5" ht="12.75">
      <c r="A35" s="53">
        <v>2400</v>
      </c>
      <c r="B35" s="50">
        <f t="shared" si="0"/>
        <v>0.004634092612462615</v>
      </c>
      <c r="C35" s="51">
        <f t="shared" si="1"/>
        <v>-2.602000000000012</v>
      </c>
      <c r="D35" s="61">
        <f t="shared" si="2"/>
        <v>3.1228459319250508</v>
      </c>
      <c r="E35" s="62">
        <f t="shared" si="3"/>
        <v>0</v>
      </c>
    </row>
    <row r="36" spans="1:5" ht="12.75">
      <c r="A36" s="53">
        <v>2500</v>
      </c>
      <c r="B36" s="50">
        <f t="shared" si="0"/>
        <v>0.004791831078310382</v>
      </c>
      <c r="C36" s="51">
        <f t="shared" si="1"/>
        <v>-2.5905000000000147</v>
      </c>
      <c r="D36" s="61">
        <f t="shared" si="2"/>
        <v>0.7526963016853517</v>
      </c>
      <c r="E36" s="62">
        <f t="shared" si="3"/>
        <v>0</v>
      </c>
    </row>
    <row r="37" spans="1:5" ht="12.75">
      <c r="A37" s="53">
        <v>2600</v>
      </c>
      <c r="B37" s="50">
        <f t="shared" si="0"/>
        <v>0.004954339333846924</v>
      </c>
      <c r="C37" s="51">
        <f t="shared" si="1"/>
        <v>-2.5790000000000095</v>
      </c>
      <c r="D37" s="61">
        <f t="shared" si="2"/>
        <v>0.13239670640422596</v>
      </c>
      <c r="E37" s="62">
        <f t="shared" si="3"/>
        <v>0</v>
      </c>
    </row>
    <row r="38" spans="1:5" ht="12.75">
      <c r="A38" s="53">
        <v>2700</v>
      </c>
      <c r="B38" s="50">
        <f t="shared" si="0"/>
        <v>0.005121739470926201</v>
      </c>
      <c r="C38" s="51">
        <f t="shared" si="1"/>
        <v>-2.56749999999999</v>
      </c>
      <c r="D38" s="61">
        <f t="shared" si="2"/>
        <v>-0.2663267990004903</v>
      </c>
      <c r="E38" s="62">
        <f t="shared" si="3"/>
        <v>0</v>
      </c>
    </row>
    <row r="39" spans="1:5" ht="12.75">
      <c r="A39" s="53">
        <v>2800</v>
      </c>
      <c r="B39" s="50">
        <f t="shared" si="0"/>
        <v>0.005294155943377343</v>
      </c>
      <c r="C39" s="51">
        <f t="shared" si="1"/>
        <v>-2.5560000000000063</v>
      </c>
      <c r="D39" s="61">
        <f t="shared" si="2"/>
        <v>0.6988044715491469</v>
      </c>
      <c r="E39" s="62">
        <f t="shared" si="3"/>
        <v>0</v>
      </c>
    </row>
    <row r="40" spans="1:5" ht="12.75">
      <c r="A40" s="53">
        <v>2900</v>
      </c>
      <c r="B40" s="50">
        <f t="shared" si="0"/>
        <v>0.005471715587835657</v>
      </c>
      <c r="C40" s="51">
        <f t="shared" si="1"/>
        <v>-2.5444999999999984</v>
      </c>
      <c r="D40" s="61">
        <f t="shared" si="2"/>
        <v>1.0844417667941801</v>
      </c>
      <c r="E40" s="62">
        <f t="shared" si="3"/>
        <v>0</v>
      </c>
    </row>
    <row r="41" spans="1:5" ht="12.75">
      <c r="A41" s="53">
        <v>3000</v>
      </c>
      <c r="B41" s="50">
        <f t="shared" si="0"/>
        <v>0.005654547643910268</v>
      </c>
      <c r="C41" s="51">
        <f t="shared" si="1"/>
        <v>-2.532999999999994</v>
      </c>
      <c r="D41" s="61">
        <f t="shared" si="2"/>
        <v>-0.3285887428877818</v>
      </c>
      <c r="E41" s="62">
        <f t="shared" si="3"/>
        <v>0</v>
      </c>
    </row>
    <row r="42" spans="1:5" ht="12.75">
      <c r="A42" s="53">
        <v>3100</v>
      </c>
      <c r="B42" s="50">
        <f t="shared" si="0"/>
        <v>0.005842783773671867</v>
      </c>
      <c r="C42" s="51">
        <f t="shared" si="1"/>
        <v>-2.521499999999998</v>
      </c>
      <c r="D42" s="61">
        <f t="shared" si="2"/>
        <v>0.9209823643503873</v>
      </c>
      <c r="E42" s="62">
        <f t="shared" si="3"/>
        <v>0</v>
      </c>
    </row>
    <row r="43" spans="1:5" ht="12.75">
      <c r="A43" s="53">
        <v>3200</v>
      </c>
      <c r="B43" s="50">
        <f t="shared" si="0"/>
        <v>0.00603655808041248</v>
      </c>
      <c r="C43" s="51">
        <f t="shared" si="1"/>
        <v>-2.5100000000000113</v>
      </c>
      <c r="D43" s="61">
        <f t="shared" si="2"/>
        <v>0.690312003425365</v>
      </c>
      <c r="E43" s="62">
        <f t="shared" si="3"/>
        <v>0</v>
      </c>
    </row>
    <row r="44" spans="1:5" ht="12.75">
      <c r="A44" s="53">
        <v>3300</v>
      </c>
      <c r="B44" s="50">
        <f t="shared" si="0"/>
        <v>0.00623600712665473</v>
      </c>
      <c r="C44" s="51">
        <f t="shared" si="1"/>
        <v>-2.498500000000015</v>
      </c>
      <c r="D44" s="61">
        <f t="shared" si="2"/>
        <v>2.4063546587969338</v>
      </c>
      <c r="E44" s="62">
        <f t="shared" si="3"/>
        <v>0</v>
      </c>
    </row>
    <row r="45" spans="1:5" ht="12.75">
      <c r="A45" s="53">
        <v>3400</v>
      </c>
      <c r="B45" s="50">
        <f t="shared" si="0"/>
        <v>0.006441269951366069</v>
      </c>
      <c r="C45" s="51">
        <f t="shared" si="1"/>
        <v>-2.487000000000007</v>
      </c>
      <c r="D45" s="61">
        <f t="shared" si="2"/>
        <v>-0.6628569725010482</v>
      </c>
      <c r="E45" s="62">
        <f t="shared" si="3"/>
        <v>0</v>
      </c>
    </row>
    <row r="46" spans="1:5" ht="12.75">
      <c r="A46" s="53">
        <v>3500</v>
      </c>
      <c r="B46" s="50">
        <f t="shared" si="0"/>
        <v>0.006652488086350994</v>
      </c>
      <c r="C46" s="51">
        <f t="shared" si="1"/>
        <v>-2.475500000000009</v>
      </c>
      <c r="D46" s="61">
        <f t="shared" si="2"/>
        <v>0.11330746915162548</v>
      </c>
      <c r="E46" s="62">
        <f t="shared" si="3"/>
        <v>0</v>
      </c>
    </row>
    <row r="47" spans="1:5" ht="12.75">
      <c r="A47" s="53">
        <v>3600</v>
      </c>
      <c r="B47" s="50">
        <f t="shared" si="0"/>
        <v>0.006869805571784404</v>
      </c>
      <c r="C47" s="51">
        <f t="shared" si="1"/>
        <v>-2.4640000000000004</v>
      </c>
      <c r="D47" s="61">
        <f t="shared" si="2"/>
        <v>1.2988641363070943</v>
      </c>
      <c r="E47" s="62">
        <f t="shared" si="3"/>
        <v>0</v>
      </c>
    </row>
    <row r="48" spans="1:5" ht="12.75">
      <c r="A48" s="53">
        <v>3700</v>
      </c>
      <c r="B48" s="50">
        <f t="shared" si="0"/>
        <v>0.0070933689708458925</v>
      </c>
      <c r="C48" s="51">
        <f t="shared" si="1"/>
        <v>-2.452500000000006</v>
      </c>
      <c r="D48" s="61">
        <f t="shared" si="2"/>
        <v>0.4473940193171311</v>
      </c>
      <c r="E48" s="62">
        <f t="shared" si="3"/>
        <v>0</v>
      </c>
    </row>
    <row r="49" spans="1:5" ht="12.75">
      <c r="A49" s="53">
        <v>3800</v>
      </c>
      <c r="B49" s="50">
        <f t="shared" si="0"/>
        <v>0.007323327383427003</v>
      </c>
      <c r="C49" s="51">
        <f t="shared" si="1"/>
        <v>-2.441000000000007</v>
      </c>
      <c r="D49" s="61">
        <f t="shared" si="2"/>
        <v>0.8106612903154752</v>
      </c>
      <c r="E49" s="62">
        <f t="shared" si="3"/>
        <v>0</v>
      </c>
    </row>
    <row r="50" spans="1:5" ht="12.75">
      <c r="A50" s="53">
        <v>3900</v>
      </c>
      <c r="B50" s="50">
        <f t="shared" si="0"/>
        <v>0.007559832458869042</v>
      </c>
      <c r="C50" s="51">
        <f t="shared" si="1"/>
        <v>-2.429500000000001</v>
      </c>
      <c r="D50" s="61">
        <f t="shared" si="2"/>
        <v>0.25819553318784405</v>
      </c>
      <c r="E50" s="62">
        <f t="shared" si="3"/>
        <v>0</v>
      </c>
    </row>
    <row r="51" spans="1:5" ht="12.75">
      <c r="A51" s="53">
        <v>4000</v>
      </c>
      <c r="B51" s="50">
        <f t="shared" si="0"/>
        <v>0.00780303840769736</v>
      </c>
      <c r="C51" s="51">
        <f t="shared" si="1"/>
        <v>-2.418</v>
      </c>
      <c r="D51" s="61">
        <f t="shared" si="2"/>
        <v>0.83093706253378</v>
      </c>
      <c r="E51" s="62">
        <f t="shared" si="3"/>
        <v>0</v>
      </c>
    </row>
    <row r="52" spans="1:5" ht="12.75">
      <c r="A52" s="53">
        <v>4100</v>
      </c>
      <c r="B52" s="50">
        <f t="shared" si="0"/>
        <v>0.00805310201231757</v>
      </c>
      <c r="C52" s="51">
        <f t="shared" si="1"/>
        <v>-2.406500000000012</v>
      </c>
      <c r="D52" s="61">
        <f t="shared" si="2"/>
        <v>1.6338241997500496</v>
      </c>
      <c r="E52" s="62">
        <f t="shared" si="3"/>
        <v>0</v>
      </c>
    </row>
    <row r="53" spans="1:5" ht="12.75">
      <c r="A53" s="53">
        <v>4200</v>
      </c>
      <c r="B53" s="50">
        <f t="shared" si="0"/>
        <v>0.008310182636634078</v>
      </c>
      <c r="C53" s="51">
        <f t="shared" si="1"/>
        <v>-2.395000000000006</v>
      </c>
      <c r="D53" s="61">
        <f t="shared" si="2"/>
        <v>0.9816202758856953</v>
      </c>
      <c r="E53" s="62">
        <f t="shared" si="3"/>
        <v>0</v>
      </c>
    </row>
    <row r="54" spans="1:5" ht="12.75">
      <c r="A54" s="53">
        <v>4300</v>
      </c>
      <c r="B54" s="50">
        <f t="shared" si="0"/>
        <v>0.008574442234554502</v>
      </c>
      <c r="C54" s="51">
        <f t="shared" si="1"/>
        <v>-2.3835000000000006</v>
      </c>
      <c r="D54" s="61">
        <f t="shared" si="2"/>
        <v>0.24184988002514418</v>
      </c>
      <c r="E54" s="62">
        <f t="shared" si="3"/>
        <v>0</v>
      </c>
    </row>
    <row r="55" spans="1:5" ht="12.75">
      <c r="A55" s="53">
        <v>4400</v>
      </c>
      <c r="B55" s="50">
        <f t="shared" si="0"/>
        <v>0.008846045357345678</v>
      </c>
      <c r="C55" s="51">
        <f t="shared" si="1"/>
        <v>-2.372</v>
      </c>
      <c r="D55" s="61">
        <f t="shared" si="2"/>
        <v>1.8652294350995615</v>
      </c>
      <c r="E55" s="62">
        <f t="shared" si="3"/>
        <v>0</v>
      </c>
    </row>
    <row r="56" spans="1:5" ht="12.75">
      <c r="A56" s="53">
        <v>4500</v>
      </c>
      <c r="B56" s="50">
        <f t="shared" si="0"/>
        <v>0.009125159159799168</v>
      </c>
      <c r="C56" s="51">
        <f t="shared" si="1"/>
        <v>-2.360500000000015</v>
      </c>
      <c r="D56" s="61">
        <f t="shared" si="2"/>
        <v>-1.0502188135331942</v>
      </c>
      <c r="E56" s="62">
        <f t="shared" si="3"/>
        <v>0</v>
      </c>
    </row>
    <row r="57" spans="1:5" ht="12.75">
      <c r="A57" s="53">
        <v>4600</v>
      </c>
      <c r="B57" s="50">
        <f t="shared" si="0"/>
        <v>0.009411953405176643</v>
      </c>
      <c r="C57" s="51">
        <f t="shared" si="1"/>
        <v>-2.349000000000002</v>
      </c>
      <c r="D57" s="61">
        <f t="shared" si="2"/>
        <v>1.2051797725657682</v>
      </c>
      <c r="E57" s="62">
        <f t="shared" si="3"/>
        <v>0</v>
      </c>
    </row>
    <row r="58" spans="1:5" ht="12.75">
      <c r="A58" s="53">
        <v>4700</v>
      </c>
      <c r="B58" s="50">
        <f t="shared" si="0"/>
        <v>0.009706600468886606</v>
      </c>
      <c r="C58" s="51">
        <f t="shared" si="1"/>
        <v>-2.3374999999999986</v>
      </c>
      <c r="D58" s="61">
        <f t="shared" si="2"/>
        <v>2.03425096099326</v>
      </c>
      <c r="E58" s="62">
        <f t="shared" si="3"/>
        <v>0</v>
      </c>
    </row>
    <row r="59" spans="1:5" ht="12.75">
      <c r="A59" s="53">
        <v>4800</v>
      </c>
      <c r="B59" s="50">
        <f t="shared" si="0"/>
        <v>0.010009275340867818</v>
      </c>
      <c r="C59" s="51">
        <f t="shared" si="1"/>
        <v>-2.3260000000000005</v>
      </c>
      <c r="D59" s="61">
        <f t="shared" si="2"/>
        <v>1.822956543954359</v>
      </c>
      <c r="E59" s="62">
        <f t="shared" si="3"/>
        <v>0</v>
      </c>
    </row>
    <row r="60" spans="1:5" ht="12.75">
      <c r="A60" s="53">
        <v>4900</v>
      </c>
      <c r="B60" s="50">
        <f t="shared" si="0"/>
        <v>0.010320155626633465</v>
      </c>
      <c r="C60" s="51">
        <f t="shared" si="1"/>
        <v>-2.314500000000005</v>
      </c>
      <c r="D60" s="61">
        <f t="shared" si="2"/>
        <v>0.8092715660573988</v>
      </c>
      <c r="E60" s="62">
        <f t="shared" si="3"/>
        <v>0</v>
      </c>
    </row>
    <row r="61" spans="1:5" ht="12.75">
      <c r="A61" s="53">
        <v>5000</v>
      </c>
      <c r="B61" s="50">
        <f t="shared" si="0"/>
        <v>0.010639421546941752</v>
      </c>
      <c r="C61" s="51">
        <f t="shared" si="1"/>
        <v>-2.3030000000000026</v>
      </c>
      <c r="D61" s="61">
        <f t="shared" si="2"/>
        <v>1.526067800624871</v>
      </c>
      <c r="E61" s="62">
        <f t="shared" si="3"/>
        <v>0</v>
      </c>
    </row>
    <row r="62" spans="1:5" ht="12.75">
      <c r="A62" s="53">
        <v>5100</v>
      </c>
      <c r="B62" s="50">
        <f t="shared" si="0"/>
        <v>0.010967255936055076</v>
      </c>
      <c r="C62" s="51">
        <f t="shared" si="1"/>
        <v>-2.2915000000000036</v>
      </c>
      <c r="D62" s="61">
        <f t="shared" si="2"/>
        <v>-1.4238266070785768</v>
      </c>
      <c r="E62" s="62">
        <f t="shared" si="3"/>
        <v>0</v>
      </c>
    </row>
    <row r="63" spans="1:5" ht="12.75">
      <c r="A63" s="53">
        <v>5200</v>
      </c>
      <c r="B63" s="50">
        <f t="shared" si="0"/>
        <v>0.011303844238552685</v>
      </c>
      <c r="C63" s="51">
        <f t="shared" si="1"/>
        <v>-2.2800000000000056</v>
      </c>
      <c r="D63" s="61">
        <f t="shared" si="2"/>
        <v>1.0371389404361604</v>
      </c>
      <c r="E63" s="62">
        <f t="shared" si="3"/>
        <v>0</v>
      </c>
    </row>
    <row r="64" spans="1:5" ht="12.75">
      <c r="A64" s="53">
        <v>5300</v>
      </c>
      <c r="B64" s="50">
        <f t="shared" si="0"/>
        <v>0.011649374504657639</v>
      </c>
      <c r="C64" s="51">
        <f t="shared" si="1"/>
        <v>-2.2685000000000004</v>
      </c>
      <c r="D64" s="61">
        <f t="shared" si="2"/>
        <v>0.9386881702622869</v>
      </c>
      <c r="E64" s="62">
        <f t="shared" si="3"/>
        <v>0</v>
      </c>
    </row>
    <row r="65" spans="1:5" ht="12.75">
      <c r="A65" s="53">
        <v>5400</v>
      </c>
      <c r="B65" s="50">
        <f t="shared" si="0"/>
        <v>0.012004037384041877</v>
      </c>
      <c r="C65" s="51">
        <f t="shared" si="1"/>
        <v>-2.2570000000000032</v>
      </c>
      <c r="D65" s="61">
        <f t="shared" si="2"/>
        <v>1.6161912334273496</v>
      </c>
      <c r="E65" s="62">
        <f t="shared" si="3"/>
        <v>0</v>
      </c>
    </row>
    <row r="66" spans="1:5" ht="12.75">
      <c r="A66" s="53">
        <v>5500</v>
      </c>
      <c r="B66" s="50">
        <f t="shared" si="0"/>
        <v>0.012368026118076303</v>
      </c>
      <c r="C66" s="51">
        <f t="shared" si="1"/>
        <v>-2.245499999999997</v>
      </c>
      <c r="D66" s="61">
        <f t="shared" si="2"/>
        <v>-1.1335017691914775</v>
      </c>
      <c r="E66" s="62">
        <f t="shared" si="3"/>
        <v>0</v>
      </c>
    </row>
    <row r="67" spans="1:5" ht="12.75">
      <c r="A67" s="53">
        <v>5600</v>
      </c>
      <c r="B67" s="50">
        <f t="shared" si="0"/>
        <v>0.012741536530482378</v>
      </c>
      <c r="C67" s="51">
        <f t="shared" si="1"/>
        <v>-2.234</v>
      </c>
      <c r="D67" s="61">
        <f t="shared" si="2"/>
        <v>1.1081745799029772</v>
      </c>
      <c r="E67" s="62">
        <f t="shared" si="3"/>
        <v>0</v>
      </c>
    </row>
    <row r="68" spans="1:5" ht="12.75">
      <c r="A68" s="53">
        <v>5700</v>
      </c>
      <c r="B68" s="50">
        <f t="shared" si="0"/>
        <v>0.013124767016360117</v>
      </c>
      <c r="C68" s="51">
        <f t="shared" si="1"/>
        <v>-2.2225000000000037</v>
      </c>
      <c r="D68" s="61">
        <f t="shared" si="2"/>
        <v>-0.5734484277687666</v>
      </c>
      <c r="E68" s="62">
        <f t="shared" si="3"/>
        <v>0</v>
      </c>
    </row>
    <row r="69" spans="1:5" ht="12.75">
      <c r="A69" s="53">
        <v>5800</v>
      </c>
      <c r="B69" s="50">
        <f t="shared" si="0"/>
        <v>0.01351791852954598</v>
      </c>
      <c r="C69" s="51">
        <f t="shared" si="1"/>
        <v>-2.211000000000001</v>
      </c>
      <c r="D69" s="61">
        <f t="shared" si="2"/>
        <v>1.8541456101117328</v>
      </c>
      <c r="E69" s="62">
        <f t="shared" si="3"/>
        <v>0</v>
      </c>
    </row>
    <row r="70" spans="1:5" ht="12.75">
      <c r="A70" s="53">
        <v>5900</v>
      </c>
      <c r="B70" s="50">
        <f t="shared" si="0"/>
        <v>0.01392119456827312</v>
      </c>
      <c r="C70" s="51">
        <f t="shared" si="1"/>
        <v>-2.199500000000004</v>
      </c>
      <c r="D70" s="61">
        <f t="shared" si="2"/>
        <v>-0.7040888384384512</v>
      </c>
      <c r="E70" s="62">
        <f t="shared" si="3"/>
        <v>0</v>
      </c>
    </row>
    <row r="71" spans="1:5" ht="12.75">
      <c r="A71" s="53">
        <v>6000</v>
      </c>
      <c r="B71" s="50">
        <f t="shared" si="0"/>
        <v>0.014334801159097799</v>
      </c>
      <c r="C71" s="51">
        <f t="shared" si="1"/>
        <v>-2.1880000000000024</v>
      </c>
      <c r="D71" s="61">
        <f t="shared" si="2"/>
        <v>-0.3726336079427186</v>
      </c>
      <c r="E71" s="62">
        <f t="shared" si="3"/>
        <v>0</v>
      </c>
    </row>
    <row r="72" spans="1:5" ht="12.75">
      <c r="A72" s="53">
        <v>6100</v>
      </c>
      <c r="B72" s="50">
        <f t="shared" si="0"/>
        <v>0.01475894683905632</v>
      </c>
      <c r="C72" s="51">
        <f t="shared" si="1"/>
        <v>-2.1765</v>
      </c>
      <c r="D72" s="61">
        <f t="shared" si="2"/>
        <v>0.7521740463848066</v>
      </c>
      <c r="E72" s="62">
        <f t="shared" si="3"/>
        <v>0</v>
      </c>
    </row>
    <row r="73" spans="1:5" ht="12.75">
      <c r="A73" s="53">
        <v>6200</v>
      </c>
      <c r="B73" s="50">
        <f t="shared" si="0"/>
        <v>0.015193842636020527</v>
      </c>
      <c r="C73" s="51">
        <f t="shared" si="1"/>
        <v>-2.1649999999999956</v>
      </c>
      <c r="D73" s="61">
        <f t="shared" si="2"/>
        <v>0.16565309931497907</v>
      </c>
      <c r="E73" s="62">
        <f t="shared" si="3"/>
        <v>0</v>
      </c>
    </row>
    <row r="74" spans="1:5" ht="12.75">
      <c r="A74" s="53">
        <v>6300</v>
      </c>
      <c r="B74" s="50">
        <f t="shared" si="0"/>
        <v>0.01563970204721743</v>
      </c>
      <c r="C74" s="51">
        <f t="shared" si="1"/>
        <v>-2.1534999999999984</v>
      </c>
      <c r="D74" s="61">
        <f t="shared" si="2"/>
        <v>0.8088438014193089</v>
      </c>
      <c r="E74" s="62">
        <f t="shared" si="3"/>
        <v>0</v>
      </c>
    </row>
    <row r="75" spans="1:5" ht="12.75">
      <c r="A75" s="53">
        <v>6400</v>
      </c>
      <c r="B75" s="50">
        <f t="shared" si="0"/>
        <v>0.016096741015884986</v>
      </c>
      <c r="C75" s="51">
        <f t="shared" si="1"/>
        <v>-2.1420000000000066</v>
      </c>
      <c r="D75" s="61">
        <f aca="true" t="shared" si="4" ref="D75:D138">NORMALRANDOM(0,1)</f>
        <v>1.279223805817989</v>
      </c>
      <c r="E75" s="62">
        <f t="shared" si="3"/>
        <v>0</v>
      </c>
    </row>
    <row r="76" spans="1:5" ht="12.75">
      <c r="A76" s="53">
        <v>6500</v>
      </c>
      <c r="B76" s="50">
        <f aca="true" t="shared" si="5" ref="B76:B139">NORMDIST(intercept+slope*A76,0,1,1)</f>
        <v>0.01656517790602563</v>
      </c>
      <c r="C76" s="51">
        <f aca="true" t="shared" si="6" ref="C76:C139">NORMINV(B76,0,1)</f>
        <v>-2.130499999999998</v>
      </c>
      <c r="D76" s="61">
        <f t="shared" si="4"/>
        <v>-0.7223869355699362</v>
      </c>
      <c r="E76" s="62">
        <f aca="true" t="shared" si="7" ref="E76:E139">IF(D76&lt;C76,1,0)</f>
        <v>0</v>
      </c>
    </row>
    <row r="77" spans="1:5" ht="12.75">
      <c r="A77" s="53">
        <v>6600</v>
      </c>
      <c r="B77" s="50">
        <f t="shared" si="5"/>
        <v>0.017045233475230903</v>
      </c>
      <c r="C77" s="51">
        <f t="shared" si="6"/>
        <v>-2.119000000000006</v>
      </c>
      <c r="D77" s="61">
        <f t="shared" si="4"/>
        <v>-0.28958551623698575</v>
      </c>
      <c r="E77" s="62">
        <f t="shared" si="7"/>
        <v>0</v>
      </c>
    </row>
    <row r="78" spans="1:5" ht="12.75">
      <c r="A78" s="53">
        <v>6700</v>
      </c>
      <c r="B78" s="50">
        <f t="shared" si="5"/>
        <v>0.017537130845550974</v>
      </c>
      <c r="C78" s="51">
        <f t="shared" si="6"/>
        <v>-2.107500000000001</v>
      </c>
      <c r="D78" s="61">
        <f t="shared" si="4"/>
        <v>0.3008004895653653</v>
      </c>
      <c r="E78" s="62">
        <f t="shared" si="7"/>
        <v>0</v>
      </c>
    </row>
    <row r="79" spans="1:5" ht="12.75">
      <c r="A79" s="53">
        <v>6800</v>
      </c>
      <c r="B79" s="50">
        <f t="shared" si="5"/>
        <v>0.01804109547236843</v>
      </c>
      <c r="C79" s="51">
        <f t="shared" si="6"/>
        <v>-2.095999999999999</v>
      </c>
      <c r="D79" s="61">
        <f t="shared" si="4"/>
        <v>1.4256161802864258</v>
      </c>
      <c r="E79" s="62">
        <f t="shared" si="7"/>
        <v>0</v>
      </c>
    </row>
    <row r="80" spans="1:5" ht="12.75">
      <c r="A80" s="53">
        <v>6900</v>
      </c>
      <c r="B80" s="50">
        <f t="shared" si="5"/>
        <v>0.018557355111261442</v>
      </c>
      <c r="C80" s="51">
        <f t="shared" si="6"/>
        <v>-2.0845000000000002</v>
      </c>
      <c r="D80" s="61">
        <f t="shared" si="4"/>
        <v>1.6544785743640065</v>
      </c>
      <c r="E80" s="62">
        <f t="shared" si="7"/>
        <v>0</v>
      </c>
    </row>
    <row r="81" spans="1:5" ht="12.75">
      <c r="A81" s="53">
        <v>7000</v>
      </c>
      <c r="B81" s="50">
        <f t="shared" si="5"/>
        <v>0.019086139782818035</v>
      </c>
      <c r="C81" s="51">
        <f t="shared" si="6"/>
        <v>-2.0730000000000004</v>
      </c>
      <c r="D81" s="61">
        <f t="shared" si="4"/>
        <v>1.3783852956885516</v>
      </c>
      <c r="E81" s="62">
        <f t="shared" si="7"/>
        <v>0</v>
      </c>
    </row>
    <row r="82" spans="1:5" ht="12.75">
      <c r="A82" s="53">
        <v>7100</v>
      </c>
      <c r="B82" s="50">
        <f t="shared" si="5"/>
        <v>0.019627681735382874</v>
      </c>
      <c r="C82" s="51">
        <f t="shared" si="6"/>
        <v>-2.0615000000000006</v>
      </c>
      <c r="D82" s="61">
        <f t="shared" si="4"/>
        <v>2.938606745031781</v>
      </c>
      <c r="E82" s="62">
        <f t="shared" si="7"/>
        <v>0</v>
      </c>
    </row>
    <row r="83" spans="1:5" ht="12.75">
      <c r="A83" s="53">
        <v>7200</v>
      </c>
      <c r="B83" s="50">
        <f t="shared" si="5"/>
        <v>0.02018221540570453</v>
      </c>
      <c r="C83" s="51">
        <f t="shared" si="6"/>
        <v>-2.05</v>
      </c>
      <c r="D83" s="61">
        <f t="shared" si="4"/>
        <v>-0.6075810963228621</v>
      </c>
      <c r="E83" s="62">
        <f t="shared" si="7"/>
        <v>0</v>
      </c>
    </row>
    <row r="84" spans="1:5" ht="12.75">
      <c r="A84" s="53">
        <v>7300</v>
      </c>
      <c r="B84" s="50">
        <f t="shared" si="5"/>
        <v>0.020749977377463313</v>
      </c>
      <c r="C84" s="51">
        <f t="shared" si="6"/>
        <v>-2.038500000000001</v>
      </c>
      <c r="D84" s="61">
        <f t="shared" si="4"/>
        <v>-0.12826675463991966</v>
      </c>
      <c r="E84" s="62">
        <f t="shared" si="7"/>
        <v>0</v>
      </c>
    </row>
    <row r="85" spans="1:5" ht="12.75">
      <c r="A85" s="53">
        <v>7400</v>
      </c>
      <c r="B85" s="50">
        <f t="shared" si="5"/>
        <v>0.021331206337656727</v>
      </c>
      <c r="C85" s="51">
        <f t="shared" si="6"/>
        <v>-2.027000000000003</v>
      </c>
      <c r="D85" s="61">
        <f t="shared" si="4"/>
        <v>1.1208566216660705</v>
      </c>
      <c r="E85" s="62">
        <f t="shared" si="7"/>
        <v>0</v>
      </c>
    </row>
    <row r="86" spans="1:5" ht="12.75">
      <c r="A86" s="53">
        <v>7500</v>
      </c>
      <c r="B86" s="50">
        <f t="shared" si="5"/>
        <v>0.021926143030815082</v>
      </c>
      <c r="C86" s="51">
        <f t="shared" si="6"/>
        <v>-2.015500000000001</v>
      </c>
      <c r="D86" s="61">
        <f t="shared" si="4"/>
        <v>-0.6534997387803871</v>
      </c>
      <c r="E86" s="62">
        <f t="shared" si="7"/>
        <v>0</v>
      </c>
    </row>
    <row r="87" spans="1:5" ht="12.75">
      <c r="A87" s="53">
        <v>7600</v>
      </c>
      <c r="B87" s="50">
        <f t="shared" si="5"/>
        <v>0.02253503021103387</v>
      </c>
      <c r="C87" s="51">
        <f t="shared" si="6"/>
        <v>-2.0040000000000013</v>
      </c>
      <c r="D87" s="61">
        <f t="shared" si="4"/>
        <v>2.7809947397309402</v>
      </c>
      <c r="E87" s="62">
        <f t="shared" si="7"/>
        <v>0</v>
      </c>
    </row>
    <row r="88" spans="1:5" ht="12.75">
      <c r="A88" s="53">
        <v>7700</v>
      </c>
      <c r="B88" s="50">
        <f t="shared" si="5"/>
        <v>0.02315811259179612</v>
      </c>
      <c r="C88" s="51">
        <f t="shared" si="6"/>
        <v>-1.9925000000000028</v>
      </c>
      <c r="D88" s="61">
        <f t="shared" si="4"/>
        <v>1.008490490860071</v>
      </c>
      <c r="E88" s="62">
        <f t="shared" si="7"/>
        <v>0</v>
      </c>
    </row>
    <row r="89" spans="1:5" ht="12.75">
      <c r="A89" s="53">
        <v>7800</v>
      </c>
      <c r="B89" s="50">
        <f t="shared" si="5"/>
        <v>0.023795636793573105</v>
      </c>
      <c r="C89" s="51">
        <f t="shared" si="6"/>
        <v>-1.981000000000003</v>
      </c>
      <c r="D89" s="61">
        <f t="shared" si="4"/>
        <v>0.04809815073548722</v>
      </c>
      <c r="E89" s="62">
        <f t="shared" si="7"/>
        <v>0</v>
      </c>
    </row>
    <row r="90" spans="1:5" ht="12.75">
      <c r="A90" s="53">
        <v>7900</v>
      </c>
      <c r="B90" s="50">
        <f t="shared" si="5"/>
        <v>0.02444785128917948</v>
      </c>
      <c r="C90" s="51">
        <f t="shared" si="6"/>
        <v>-1.969500000000005</v>
      </c>
      <c r="D90" s="61">
        <f t="shared" si="4"/>
        <v>-0.3207761066122288</v>
      </c>
      <c r="E90" s="62">
        <f t="shared" si="7"/>
        <v>0</v>
      </c>
    </row>
    <row r="91" spans="1:5" ht="12.75">
      <c r="A91" s="53">
        <v>8000</v>
      </c>
      <c r="B91" s="50">
        <f t="shared" si="5"/>
        <v>0.025115006346874358</v>
      </c>
      <c r="C91" s="51">
        <f t="shared" si="6"/>
        <v>-1.9580000000000015</v>
      </c>
      <c r="D91" s="61">
        <f t="shared" si="4"/>
        <v>-0.1851371500090135</v>
      </c>
      <c r="E91" s="62">
        <f t="shared" si="7"/>
        <v>0</v>
      </c>
    </row>
    <row r="92" spans="1:5" ht="12.75">
      <c r="A92" s="53">
        <v>8100</v>
      </c>
      <c r="B92" s="50">
        <f t="shared" si="5"/>
        <v>0.02579735397118721</v>
      </c>
      <c r="C92" s="51">
        <f t="shared" si="6"/>
        <v>-1.9465000000000003</v>
      </c>
      <c r="D92" s="61">
        <f t="shared" si="4"/>
        <v>1.0414021502693163</v>
      </c>
      <c r="E92" s="62">
        <f t="shared" si="7"/>
        <v>0</v>
      </c>
    </row>
    <row r="93" spans="1:5" ht="12.75">
      <c r="A93" s="53">
        <v>8200</v>
      </c>
      <c r="B93" s="50">
        <f t="shared" si="5"/>
        <v>0.026495147841463007</v>
      </c>
      <c r="C93" s="51">
        <f t="shared" si="6"/>
        <v>-1.935</v>
      </c>
      <c r="D93" s="61">
        <f t="shared" si="4"/>
        <v>1.142768762904339</v>
      </c>
      <c r="E93" s="62">
        <f t="shared" si="7"/>
        <v>0</v>
      </c>
    </row>
    <row r="94" spans="1:5" ht="12.75">
      <c r="A94" s="53">
        <v>8300</v>
      </c>
      <c r="B94" s="50">
        <f t="shared" si="5"/>
        <v>0.0272086432481089</v>
      </c>
      <c r="C94" s="51">
        <f t="shared" si="6"/>
        <v>-1.9235000000000029</v>
      </c>
      <c r="D94" s="61">
        <f t="shared" si="4"/>
        <v>-0.05839417251454471</v>
      </c>
      <c r="E94" s="62">
        <f t="shared" si="7"/>
        <v>0</v>
      </c>
    </row>
    <row r="95" spans="1:5" ht="12.75">
      <c r="A95" s="53">
        <v>8400</v>
      </c>
      <c r="B95" s="50">
        <f t="shared" si="5"/>
        <v>0.027938097026538822</v>
      </c>
      <c r="C95" s="51">
        <f t="shared" si="6"/>
        <v>-1.9120000000000026</v>
      </c>
      <c r="D95" s="61">
        <f t="shared" si="4"/>
        <v>1.2243727568571476</v>
      </c>
      <c r="E95" s="62">
        <f t="shared" si="7"/>
        <v>0</v>
      </c>
    </row>
    <row r="96" spans="1:5" ht="12.75">
      <c r="A96" s="53">
        <v>8500</v>
      </c>
      <c r="B96" s="50">
        <f t="shared" si="5"/>
        <v>0.02868376748880297</v>
      </c>
      <c r="C96" s="51">
        <f t="shared" si="6"/>
        <v>-1.9004999999999996</v>
      </c>
      <c r="D96" s="61">
        <f t="shared" si="4"/>
        <v>0.842251883466511</v>
      </c>
      <c r="E96" s="62">
        <f t="shared" si="7"/>
        <v>0</v>
      </c>
    </row>
    <row r="97" spans="1:5" ht="12.75">
      <c r="A97" s="53">
        <v>8600</v>
      </c>
      <c r="B97" s="50">
        <f t="shared" si="5"/>
        <v>0.029445914352898894</v>
      </c>
      <c r="C97" s="51">
        <f t="shared" si="6"/>
        <v>-1.8890000000000016</v>
      </c>
      <c r="D97" s="61">
        <f t="shared" si="4"/>
        <v>0.5026612838747955</v>
      </c>
      <c r="E97" s="62">
        <f t="shared" si="7"/>
        <v>0</v>
      </c>
    </row>
    <row r="98" spans="1:5" ht="12.75">
      <c r="A98" s="53">
        <v>8700</v>
      </c>
      <c r="B98" s="50">
        <f t="shared" si="5"/>
        <v>0.03022479866976202</v>
      </c>
      <c r="C98" s="51">
        <f t="shared" si="6"/>
        <v>-1.8775000000000004</v>
      </c>
      <c r="D98" s="61">
        <f t="shared" si="4"/>
        <v>1.6941499766080446</v>
      </c>
      <c r="E98" s="62">
        <f t="shared" si="7"/>
        <v>0</v>
      </c>
    </row>
    <row r="99" spans="1:5" ht="12.75">
      <c r="A99" s="53">
        <v>8800</v>
      </c>
      <c r="B99" s="50">
        <f t="shared" si="5"/>
        <v>0.031020682747925132</v>
      </c>
      <c r="C99" s="51">
        <f t="shared" si="6"/>
        <v>-1.8660000000000014</v>
      </c>
      <c r="D99" s="61">
        <f t="shared" si="4"/>
        <v>0.827996443190245</v>
      </c>
      <c r="E99" s="62">
        <f t="shared" si="7"/>
        <v>0</v>
      </c>
    </row>
    <row r="100" spans="1:5" ht="12.75">
      <c r="A100" s="53">
        <v>8900</v>
      </c>
      <c r="B100" s="50">
        <f t="shared" si="5"/>
        <v>0.031833830075856384</v>
      </c>
      <c r="C100" s="51">
        <f t="shared" si="6"/>
        <v>-1.8545000000000007</v>
      </c>
      <c r="D100" s="61">
        <f t="shared" si="4"/>
        <v>1.2023037370110037</v>
      </c>
      <c r="E100" s="62">
        <f t="shared" si="7"/>
        <v>0</v>
      </c>
    </row>
    <row r="101" spans="1:5" ht="12.75">
      <c r="A101" s="53">
        <v>9000</v>
      </c>
      <c r="B101" s="50">
        <f t="shared" si="5"/>
        <v>0.03266450524196707</v>
      </c>
      <c r="C101" s="51">
        <f t="shared" si="6"/>
        <v>-1.8429999999999978</v>
      </c>
      <c r="D101" s="61">
        <f t="shared" si="4"/>
        <v>0.03071662372072215</v>
      </c>
      <c r="E101" s="62">
        <f t="shared" si="7"/>
        <v>0</v>
      </c>
    </row>
    <row r="102" spans="1:5" ht="12.75">
      <c r="A102" s="53">
        <v>9100</v>
      </c>
      <c r="B102" s="50">
        <f t="shared" si="5"/>
        <v>0.03351297385229812</v>
      </c>
      <c r="C102" s="51">
        <f t="shared" si="6"/>
        <v>-1.831500000000002</v>
      </c>
      <c r="D102" s="61">
        <f t="shared" si="4"/>
        <v>0.9364907441099637</v>
      </c>
      <c r="E102" s="62">
        <f t="shared" si="7"/>
        <v>0</v>
      </c>
    </row>
    <row r="103" spans="1:5" ht="12.75">
      <c r="A103" s="53">
        <v>9200</v>
      </c>
      <c r="B103" s="50">
        <f t="shared" si="5"/>
        <v>0.03437950244588994</v>
      </c>
      <c r="C103" s="51">
        <f t="shared" si="6"/>
        <v>-1.820000000000002</v>
      </c>
      <c r="D103" s="61">
        <f t="shared" si="4"/>
        <v>1.3661144223544694</v>
      </c>
      <c r="E103" s="62">
        <f t="shared" si="7"/>
        <v>0</v>
      </c>
    </row>
    <row r="104" spans="1:5" ht="12.75">
      <c r="A104" s="53">
        <v>9300</v>
      </c>
      <c r="B104" s="50">
        <f t="shared" si="5"/>
        <v>0.03526435840783715</v>
      </c>
      <c r="C104" s="51">
        <f t="shared" si="6"/>
        <v>-1.8085000000000004</v>
      </c>
      <c r="D104" s="61">
        <f t="shared" si="4"/>
        <v>1.8286200321607575</v>
      </c>
      <c r="E104" s="62">
        <f t="shared" si="7"/>
        <v>0</v>
      </c>
    </row>
    <row r="105" spans="1:5" ht="12.75">
      <c r="A105" s="53">
        <v>9400</v>
      </c>
      <c r="B105" s="50">
        <f t="shared" si="5"/>
        <v>0.03616780988004242</v>
      </c>
      <c r="C105" s="51">
        <f t="shared" si="6"/>
        <v>-1.7970000000000006</v>
      </c>
      <c r="D105" s="61">
        <f t="shared" si="4"/>
        <v>1.8832353400370363</v>
      </c>
      <c r="E105" s="62">
        <f t="shared" si="7"/>
        <v>0</v>
      </c>
    </row>
    <row r="106" spans="1:5" ht="12.75">
      <c r="A106" s="53">
        <v>9500</v>
      </c>
      <c r="B106" s="50">
        <f t="shared" si="5"/>
        <v>0.037090125669680396</v>
      </c>
      <c r="C106" s="51">
        <f t="shared" si="6"/>
        <v>-1.7854999999999999</v>
      </c>
      <c r="D106" s="61">
        <f t="shared" si="4"/>
        <v>1.3635697485861236</v>
      </c>
      <c r="E106" s="62">
        <f t="shared" si="7"/>
        <v>0</v>
      </c>
    </row>
    <row r="107" spans="1:5" ht="12.75">
      <c r="A107" s="53">
        <v>9600</v>
      </c>
      <c r="B107" s="50">
        <f t="shared" si="5"/>
        <v>0.038031575155377695</v>
      </c>
      <c r="C107" s="51">
        <f t="shared" si="6"/>
        <v>-1.7740000000000018</v>
      </c>
      <c r="D107" s="61">
        <f t="shared" si="4"/>
        <v>-1.8772517889131233</v>
      </c>
      <c r="E107" s="62">
        <f t="shared" si="7"/>
        <v>1</v>
      </c>
    </row>
    <row r="108" spans="1:5" ht="12.75">
      <c r="A108" s="53">
        <v>9700</v>
      </c>
      <c r="B108" s="50">
        <f t="shared" si="5"/>
        <v>0.03899242819113291</v>
      </c>
      <c r="C108" s="51">
        <f t="shared" si="6"/>
        <v>-1.762500000000001</v>
      </c>
      <c r="D108" s="61">
        <f t="shared" si="4"/>
        <v>0.715024021478474</v>
      </c>
      <c r="E108" s="62">
        <f t="shared" si="7"/>
        <v>0</v>
      </c>
    </row>
    <row r="109" spans="1:5" ht="12.75">
      <c r="A109" s="53">
        <v>9800</v>
      </c>
      <c r="B109" s="50">
        <f t="shared" si="5"/>
        <v>0.03997295500798714</v>
      </c>
      <c r="C109" s="51">
        <f t="shared" si="6"/>
        <v>-1.7510000000000012</v>
      </c>
      <c r="D109" s="61">
        <f t="shared" si="4"/>
        <v>-0.20770648961157595</v>
      </c>
      <c r="E109" s="62">
        <f t="shared" si="7"/>
        <v>0</v>
      </c>
    </row>
    <row r="110" spans="1:5" ht="12.75">
      <c r="A110" s="53">
        <v>9900</v>
      </c>
      <c r="B110" s="50">
        <f t="shared" si="5"/>
        <v>0.04097342611346688</v>
      </c>
      <c r="C110" s="51">
        <f t="shared" si="6"/>
        <v>-1.7395000000000018</v>
      </c>
      <c r="D110" s="61">
        <f t="shared" si="4"/>
        <v>1.611099595763572</v>
      </c>
      <c r="E110" s="62">
        <f t="shared" si="7"/>
        <v>0</v>
      </c>
    </row>
    <row r="111" spans="1:5" ht="12.75">
      <c r="A111" s="53">
        <v>10000</v>
      </c>
      <c r="B111" s="50">
        <f t="shared" si="5"/>
        <v>0.04199411218882143</v>
      </c>
      <c r="C111" s="51">
        <f t="shared" si="6"/>
        <v>-1.728000000000001</v>
      </c>
      <c r="D111" s="61">
        <f t="shared" si="4"/>
        <v>1.2812204569838197</v>
      </c>
      <c r="E111" s="62">
        <f t="shared" si="7"/>
        <v>0</v>
      </c>
    </row>
    <row r="112" spans="1:5" ht="12.75">
      <c r="A112" s="53">
        <v>10100</v>
      </c>
      <c r="B112" s="50">
        <f t="shared" si="5"/>
        <v>0.04303528398407552</v>
      </c>
      <c r="C112" s="51">
        <f t="shared" si="6"/>
        <v>-1.7165000000000008</v>
      </c>
      <c r="D112" s="61">
        <f t="shared" si="4"/>
        <v>1.9589021981940502</v>
      </c>
      <c r="E112" s="62">
        <f t="shared" si="7"/>
        <v>0</v>
      </c>
    </row>
    <row r="113" spans="1:5" ht="12.75">
      <c r="A113" s="53">
        <v>10200</v>
      </c>
      <c r="B113" s="50">
        <f t="shared" si="5"/>
        <v>0.044097212210927106</v>
      </c>
      <c r="C113" s="51">
        <f t="shared" si="6"/>
        <v>-1.7050000000000018</v>
      </c>
      <c r="D113" s="61">
        <f t="shared" si="4"/>
        <v>1.0361220328263567</v>
      </c>
      <c r="E113" s="62">
        <f t="shared" si="7"/>
        <v>0</v>
      </c>
    </row>
    <row r="114" spans="1:5" ht="12.75">
      <c r="A114" s="53">
        <v>10300</v>
      </c>
      <c r="B114" s="50">
        <f t="shared" si="5"/>
        <v>0.045180167433513274</v>
      </c>
      <c r="C114" s="51">
        <f t="shared" si="6"/>
        <v>-1.6935000000000007</v>
      </c>
      <c r="D114" s="61">
        <f t="shared" si="4"/>
        <v>-0.4419878478452324</v>
      </c>
      <c r="E114" s="62">
        <f t="shared" si="7"/>
        <v>0</v>
      </c>
    </row>
    <row r="115" spans="1:5" ht="12.75">
      <c r="A115" s="53">
        <v>10400</v>
      </c>
      <c r="B115" s="50">
        <f t="shared" si="5"/>
        <v>0.04628441995707988</v>
      </c>
      <c r="C115" s="51">
        <f t="shared" si="6"/>
        <v>-1.6820000000000008</v>
      </c>
      <c r="D115" s="61">
        <f t="shared" si="4"/>
        <v>4.058100489624906</v>
      </c>
      <c r="E115" s="62">
        <f t="shared" si="7"/>
        <v>0</v>
      </c>
    </row>
    <row r="116" spans="1:5" ht="12.75">
      <c r="A116" s="53">
        <v>10500</v>
      </c>
      <c r="B116" s="50">
        <f t="shared" si="5"/>
        <v>0.04741023971458436</v>
      </c>
      <c r="C116" s="51">
        <f t="shared" si="6"/>
        <v>-1.6705000000000005</v>
      </c>
      <c r="D116" s="61">
        <f t="shared" si="4"/>
        <v>1.2289123369162007</v>
      </c>
      <c r="E116" s="62">
        <f t="shared" si="7"/>
        <v>0</v>
      </c>
    </row>
    <row r="117" spans="1:5" ht="12.75">
      <c r="A117" s="53">
        <v>10600</v>
      </c>
      <c r="B117" s="50">
        <f t="shared" si="5"/>
        <v>0.048557896151266045</v>
      </c>
      <c r="C117" s="51">
        <f t="shared" si="6"/>
        <v>-1.659000000000002</v>
      </c>
      <c r="D117" s="61">
        <f t="shared" si="4"/>
        <v>1.330380349163296</v>
      </c>
      <c r="E117" s="62">
        <f t="shared" si="7"/>
        <v>0</v>
      </c>
    </row>
    <row r="118" spans="1:5" ht="12.75">
      <c r="A118" s="53">
        <v>10700</v>
      </c>
      <c r="B118" s="50">
        <f t="shared" si="5"/>
        <v>0.049727658107226014</v>
      </c>
      <c r="C118" s="51">
        <f t="shared" si="6"/>
        <v>-1.6475000000000013</v>
      </c>
      <c r="D118" s="61">
        <f t="shared" si="4"/>
        <v>1.037246708242214</v>
      </c>
      <c r="E118" s="62">
        <f t="shared" si="7"/>
        <v>0</v>
      </c>
    </row>
    <row r="119" spans="1:5" ht="12.75">
      <c r="A119" s="53">
        <v>10800</v>
      </c>
      <c r="B119" s="50">
        <f t="shared" si="5"/>
        <v>0.05091979369804833</v>
      </c>
      <c r="C119" s="51">
        <f t="shared" si="6"/>
        <v>-1.6359999999999997</v>
      </c>
      <c r="D119" s="61">
        <f t="shared" si="4"/>
        <v>3.1979022224250304</v>
      </c>
      <c r="E119" s="62">
        <f t="shared" si="7"/>
        <v>0</v>
      </c>
    </row>
    <row r="120" spans="1:5" ht="12.75">
      <c r="A120" s="53">
        <v>10900</v>
      </c>
      <c r="B120" s="50">
        <f t="shared" si="5"/>
        <v>0.052134570193511864</v>
      </c>
      <c r="C120" s="51">
        <f t="shared" si="6"/>
        <v>-1.6245000000000003</v>
      </c>
      <c r="D120" s="61">
        <f t="shared" si="4"/>
        <v>0.13034532607891225</v>
      </c>
      <c r="E120" s="62">
        <f t="shared" si="7"/>
        <v>0</v>
      </c>
    </row>
    <row r="121" spans="1:5" ht="12.75">
      <c r="A121" s="53">
        <v>11000</v>
      </c>
      <c r="B121" s="50">
        <f t="shared" si="5"/>
        <v>0.05337225389443412</v>
      </c>
      <c r="C121" s="51">
        <f t="shared" si="6"/>
        <v>-1.6130000000000013</v>
      </c>
      <c r="D121" s="61">
        <f t="shared" si="4"/>
        <v>-0.4291474037263117</v>
      </c>
      <c r="E121" s="62">
        <f t="shared" si="7"/>
        <v>0</v>
      </c>
    </row>
    <row r="122" spans="1:5" ht="12.75">
      <c r="A122" s="53">
        <v>11100</v>
      </c>
      <c r="B122" s="50">
        <f t="shared" si="5"/>
        <v>0.054633110007691776</v>
      </c>
      <c r="C122" s="51">
        <f t="shared" si="6"/>
        <v>-1.601500000000001</v>
      </c>
      <c r="D122" s="61">
        <f t="shared" si="4"/>
        <v>0.06516311760958493</v>
      </c>
      <c r="E122" s="62">
        <f t="shared" si="7"/>
        <v>0</v>
      </c>
    </row>
    <row r="123" spans="1:5" ht="12.75">
      <c r="A123" s="53">
        <v>11200</v>
      </c>
      <c r="B123" s="50">
        <f t="shared" si="5"/>
        <v>0.05591740251946953</v>
      </c>
      <c r="C123" s="51">
        <f t="shared" si="6"/>
        <v>-1.5899999999999999</v>
      </c>
      <c r="D123" s="61">
        <f t="shared" si="4"/>
        <v>2.190001684480475</v>
      </c>
      <c r="E123" s="62">
        <f t="shared" si="7"/>
        <v>0</v>
      </c>
    </row>
    <row r="124" spans="1:5" ht="12.75">
      <c r="A124" s="53">
        <v>11300</v>
      </c>
      <c r="B124" s="50">
        <f t="shared" si="5"/>
        <v>0.05722539406678784</v>
      </c>
      <c r="C124" s="51">
        <f t="shared" si="6"/>
        <v>-1.578500000000001</v>
      </c>
      <c r="D124" s="61">
        <f t="shared" si="4"/>
        <v>2.2265115605332673</v>
      </c>
      <c r="E124" s="62">
        <f t="shared" si="7"/>
        <v>0</v>
      </c>
    </row>
    <row r="125" spans="1:5" ht="12.75">
      <c r="A125" s="53">
        <v>11400</v>
      </c>
      <c r="B125" s="50">
        <f t="shared" si="5"/>
        <v>0.058557345807363714</v>
      </c>
      <c r="C125" s="51">
        <f t="shared" si="6"/>
        <v>-1.5670000000000002</v>
      </c>
      <c r="D125" s="61">
        <f t="shared" si="4"/>
        <v>0.8813776224553941</v>
      </c>
      <c r="E125" s="62">
        <f t="shared" si="7"/>
        <v>0</v>
      </c>
    </row>
    <row r="126" spans="1:5" ht="12.75">
      <c r="A126" s="53">
        <v>11500</v>
      </c>
      <c r="B126" s="50">
        <f t="shared" si="5"/>
        <v>0.059913517287857765</v>
      </c>
      <c r="C126" s="51">
        <f t="shared" si="6"/>
        <v>-1.5555000000000003</v>
      </c>
      <c r="D126" s="61">
        <f t="shared" si="4"/>
        <v>0.5354108252618448</v>
      </c>
      <c r="E126" s="62">
        <f t="shared" si="7"/>
        <v>0</v>
      </c>
    </row>
    <row r="127" spans="1:5" ht="12.75">
      <c r="A127" s="53">
        <v>11600</v>
      </c>
      <c r="B127" s="50">
        <f t="shared" si="5"/>
        <v>0.061294166310569276</v>
      </c>
      <c r="C127" s="51">
        <f t="shared" si="6"/>
        <v>-1.5440000000000005</v>
      </c>
      <c r="D127" s="61">
        <f t="shared" si="4"/>
        <v>2.857966600816172</v>
      </c>
      <c r="E127" s="62">
        <f t="shared" si="7"/>
        <v>0</v>
      </c>
    </row>
    <row r="128" spans="1:5" ht="12.75">
      <c r="A128" s="53">
        <v>11700</v>
      </c>
      <c r="B128" s="50">
        <f t="shared" si="5"/>
        <v>0.0626995487986387</v>
      </c>
      <c r="C128" s="51">
        <f t="shared" si="6"/>
        <v>-1.5325000000000002</v>
      </c>
      <c r="D128" s="61">
        <f t="shared" si="4"/>
        <v>1.2182445053126902</v>
      </c>
      <c r="E128" s="62">
        <f t="shared" si="7"/>
        <v>0</v>
      </c>
    </row>
    <row r="129" spans="1:5" ht="12.75">
      <c r="A129" s="53">
        <v>11800</v>
      </c>
      <c r="B129" s="50">
        <f t="shared" si="5"/>
        <v>0.0641299186598201</v>
      </c>
      <c r="C129" s="51">
        <f t="shared" si="6"/>
        <v>-1.5210000000000004</v>
      </c>
      <c r="D129" s="61">
        <f t="shared" si="4"/>
        <v>1.2152663430368507</v>
      </c>
      <c r="E129" s="62">
        <f t="shared" si="7"/>
        <v>0</v>
      </c>
    </row>
    <row r="130" spans="1:5" ht="12.75">
      <c r="A130" s="53">
        <v>11900</v>
      </c>
      <c r="B130" s="50">
        <f t="shared" si="5"/>
        <v>0.06558552764888659</v>
      </c>
      <c r="C130" s="51">
        <f t="shared" si="6"/>
        <v>-1.509500000000001</v>
      </c>
      <c r="D130" s="61">
        <f t="shared" si="4"/>
        <v>0.6197918752502736</v>
      </c>
      <c r="E130" s="62">
        <f t="shared" si="7"/>
        <v>0</v>
      </c>
    </row>
    <row r="131" spans="1:5" ht="12.75">
      <c r="A131" s="53">
        <v>12000</v>
      </c>
      <c r="B131" s="50">
        <f t="shared" si="5"/>
        <v>0.06706662522874218</v>
      </c>
      <c r="C131" s="51">
        <f t="shared" si="6"/>
        <v>-1.4980000000000007</v>
      </c>
      <c r="D131" s="61">
        <f t="shared" si="4"/>
        <v>1.5867915652985631</v>
      </c>
      <c r="E131" s="62">
        <f t="shared" si="7"/>
        <v>0</v>
      </c>
    </row>
    <row r="132" spans="1:5" ht="12.75">
      <c r="A132" s="53">
        <v>12100</v>
      </c>
      <c r="B132" s="50">
        <f t="shared" si="5"/>
        <v>0.06857345843030282</v>
      </c>
      <c r="C132" s="51">
        <f t="shared" si="6"/>
        <v>-1.4865000000000017</v>
      </c>
      <c r="D132" s="61">
        <f t="shared" si="4"/>
        <v>2.2419650379421663</v>
      </c>
      <c r="E132" s="62">
        <f t="shared" si="7"/>
        <v>0</v>
      </c>
    </row>
    <row r="133" spans="1:5" ht="12.75">
      <c r="A133" s="53">
        <v>12200</v>
      </c>
      <c r="B133" s="50">
        <f t="shared" si="5"/>
        <v>0.07010627171122308</v>
      </c>
      <c r="C133" s="51">
        <f t="shared" si="6"/>
        <v>-1.4750000000000014</v>
      </c>
      <c r="D133" s="61">
        <f t="shared" si="4"/>
        <v>1.0824229732861326</v>
      </c>
      <c r="E133" s="62">
        <f t="shared" si="7"/>
        <v>0</v>
      </c>
    </row>
    <row r="134" spans="1:5" ht="12.75">
      <c r="A134" s="53">
        <v>12300</v>
      </c>
      <c r="B134" s="50">
        <f t="shared" si="5"/>
        <v>0.07166530681354111</v>
      </c>
      <c r="C134" s="51">
        <f t="shared" si="6"/>
        <v>-1.4634999999999998</v>
      </c>
      <c r="D134" s="61">
        <f t="shared" si="4"/>
        <v>1.975359724148222</v>
      </c>
      <c r="E134" s="62">
        <f t="shared" si="7"/>
        <v>0</v>
      </c>
    </row>
    <row r="135" spans="1:5" ht="12.75">
      <c r="A135" s="53">
        <v>12400</v>
      </c>
      <c r="B135" s="50">
        <f t="shared" si="5"/>
        <v>0.07325080262031669</v>
      </c>
      <c r="C135" s="51">
        <f t="shared" si="6"/>
        <v>-1.4520000000000004</v>
      </c>
      <c r="D135" s="61">
        <f t="shared" si="4"/>
        <v>2.1332928636497743</v>
      </c>
      <c r="E135" s="62">
        <f t="shared" si="7"/>
        <v>0</v>
      </c>
    </row>
    <row r="136" spans="1:5" ht="12.75">
      <c r="A136" s="53">
        <v>12500</v>
      </c>
      <c r="B136" s="50">
        <f t="shared" si="5"/>
        <v>0.07486299501134397</v>
      </c>
      <c r="C136" s="51">
        <f t="shared" si="6"/>
        <v>-1.4405000000000006</v>
      </c>
      <c r="D136" s="61">
        <f t="shared" si="4"/>
        <v>-0.636604606901594</v>
      </c>
      <c r="E136" s="62">
        <f t="shared" si="7"/>
        <v>0</v>
      </c>
    </row>
    <row r="137" spans="1:5" ht="12.75">
      <c r="A137" s="53">
        <v>12600</v>
      </c>
      <c r="B137" s="50">
        <f t="shared" si="5"/>
        <v>0.07650211671801599</v>
      </c>
      <c r="C137" s="51">
        <f t="shared" si="6"/>
        <v>-1.4290000000000007</v>
      </c>
      <c r="D137" s="61">
        <f t="shared" si="4"/>
        <v>1.4725617875407389</v>
      </c>
      <c r="E137" s="62">
        <f t="shared" si="7"/>
        <v>0</v>
      </c>
    </row>
    <row r="138" spans="1:5" ht="12.75">
      <c r="A138" s="53">
        <v>12700</v>
      </c>
      <c r="B138" s="50">
        <f t="shared" si="5"/>
        <v>0.07816839717742541</v>
      </c>
      <c r="C138" s="51">
        <f t="shared" si="6"/>
        <v>-1.4175000000000004</v>
      </c>
      <c r="D138" s="61">
        <f t="shared" si="4"/>
        <v>0.27331111706863975</v>
      </c>
      <c r="E138" s="62">
        <f t="shared" si="7"/>
        <v>0</v>
      </c>
    </row>
    <row r="139" spans="1:5" ht="12.75">
      <c r="A139" s="53">
        <v>12800</v>
      </c>
      <c r="B139" s="50">
        <f t="shared" si="5"/>
        <v>0.07986206238578475</v>
      </c>
      <c r="C139" s="51">
        <f t="shared" si="6"/>
        <v>-1.4060000000000006</v>
      </c>
      <c r="D139" s="61">
        <f aca="true" t="shared" si="8" ref="D139:D202">NORMALRANDOM(0,1)</f>
        <v>2.739173851032201</v>
      </c>
      <c r="E139" s="62">
        <f t="shared" si="7"/>
        <v>0</v>
      </c>
    </row>
    <row r="140" spans="1:5" ht="12.75">
      <c r="A140" s="53">
        <v>12900</v>
      </c>
      <c r="B140" s="50">
        <f aca="true" t="shared" si="9" ref="B140:B203">NORMDIST(intercept+slope*A140,0,1,1)</f>
        <v>0.08158333475125468</v>
      </c>
      <c r="C140" s="51">
        <f aca="true" t="shared" si="10" ref="C140:C203">NORMINV(B140,0,1)</f>
        <v>-1.3945000000000007</v>
      </c>
      <c r="D140" s="61">
        <f t="shared" si="8"/>
        <v>2.2118813155774144</v>
      </c>
      <c r="E140" s="62">
        <f aca="true" t="shared" si="11" ref="E140:E203">IF(D140&lt;C140,1,0)</f>
        <v>0</v>
      </c>
    </row>
    <row r="141" spans="1:5" ht="12.75">
      <c r="A141" s="53">
        <v>13000</v>
      </c>
      <c r="B141" s="50">
        <f t="shared" si="9"/>
        <v>0.08333243294626436</v>
      </c>
      <c r="C141" s="51">
        <f t="shared" si="10"/>
        <v>-1.3830000000000005</v>
      </c>
      <c r="D141" s="61">
        <f t="shared" si="8"/>
        <v>2.1531863177754125</v>
      </c>
      <c r="E141" s="62">
        <f t="shared" si="11"/>
        <v>0</v>
      </c>
    </row>
    <row r="142" spans="1:5" ht="12.75">
      <c r="A142" s="53">
        <v>13100</v>
      </c>
      <c r="B142" s="50">
        <f t="shared" si="9"/>
        <v>0.08510957175941936</v>
      </c>
      <c r="C142" s="51">
        <f t="shared" si="10"/>
        <v>-1.3715000000000002</v>
      </c>
      <c r="D142" s="61">
        <f t="shared" si="8"/>
        <v>1.108864513833177</v>
      </c>
      <c r="E142" s="62">
        <f t="shared" si="11"/>
        <v>0</v>
      </c>
    </row>
    <row r="143" spans="1:5" ht="12.75">
      <c r="A143" s="53">
        <v>13200</v>
      </c>
      <c r="B143" s="50">
        <f t="shared" si="9"/>
        <v>0.08691496194708503</v>
      </c>
      <c r="C143" s="51">
        <f t="shared" si="10"/>
        <v>-1.3600000000000008</v>
      </c>
      <c r="D143" s="61">
        <f t="shared" si="8"/>
        <v>0.7028630701323831</v>
      </c>
      <c r="E143" s="62">
        <f t="shared" si="11"/>
        <v>0</v>
      </c>
    </row>
    <row r="144" spans="1:5" ht="12.75">
      <c r="A144" s="53">
        <v>13300</v>
      </c>
      <c r="B144" s="50">
        <f t="shared" si="9"/>
        <v>0.08874881008474178</v>
      </c>
      <c r="C144" s="51">
        <f t="shared" si="10"/>
        <v>-1.3485000000000005</v>
      </c>
      <c r="D144" s="61">
        <f t="shared" si="8"/>
        <v>1.2302878950937464</v>
      </c>
      <c r="E144" s="62">
        <f t="shared" si="11"/>
        <v>0</v>
      </c>
    </row>
    <row r="145" spans="1:5" ht="12.75">
      <c r="A145" s="53">
        <v>13400</v>
      </c>
      <c r="B145" s="50">
        <f t="shared" si="9"/>
        <v>0.0906113184182048</v>
      </c>
      <c r="C145" s="51">
        <f t="shared" si="10"/>
        <v>-1.3370000000000002</v>
      </c>
      <c r="D145" s="61">
        <f t="shared" si="8"/>
        <v>1.9413835733308058</v>
      </c>
      <c r="E145" s="62">
        <f t="shared" si="11"/>
        <v>0</v>
      </c>
    </row>
    <row r="146" spans="1:5" ht="12.75">
      <c r="A146" s="53">
        <v>13500</v>
      </c>
      <c r="B146" s="50">
        <f t="shared" si="9"/>
        <v>0.09250268471480749</v>
      </c>
      <c r="C146" s="51">
        <f t="shared" si="10"/>
        <v>-1.3255000000000008</v>
      </c>
      <c r="D146" s="61">
        <f t="shared" si="8"/>
        <v>1.7029663196714884</v>
      </c>
      <c r="E146" s="62">
        <f t="shared" si="11"/>
        <v>0</v>
      </c>
    </row>
    <row r="147" spans="1:5" ht="12.75">
      <c r="A147" s="53">
        <v>13600</v>
      </c>
      <c r="B147" s="50">
        <f t="shared" si="9"/>
        <v>0.09442310211464777</v>
      </c>
      <c r="C147" s="51">
        <f t="shared" si="10"/>
        <v>-1.3140000000000005</v>
      </c>
      <c r="D147" s="61">
        <f t="shared" si="8"/>
        <v>-0.4877180673098166</v>
      </c>
      <c r="E147" s="62">
        <f t="shared" si="11"/>
        <v>0</v>
      </c>
    </row>
    <row r="148" spans="1:5" ht="12.75">
      <c r="A148" s="53">
        <v>13700</v>
      </c>
      <c r="B148" s="50">
        <f t="shared" si="9"/>
        <v>0.0963727589819936</v>
      </c>
      <c r="C148" s="51">
        <f t="shared" si="10"/>
        <v>-1.3025000000000007</v>
      </c>
      <c r="D148" s="61">
        <f t="shared" si="8"/>
        <v>-0.053560910544259155</v>
      </c>
      <c r="E148" s="62">
        <f t="shared" si="11"/>
        <v>0</v>
      </c>
    </row>
    <row r="149" spans="1:5" ht="12.75">
      <c r="A149" s="53">
        <v>13800</v>
      </c>
      <c r="B149" s="50">
        <f t="shared" si="9"/>
        <v>0.09835183875695486</v>
      </c>
      <c r="C149" s="51">
        <f t="shared" si="10"/>
        <v>-1.2910000000000004</v>
      </c>
      <c r="D149" s="61">
        <f t="shared" si="8"/>
        <v>1.4794565511319404</v>
      </c>
      <c r="E149" s="62">
        <f t="shared" si="11"/>
        <v>0</v>
      </c>
    </row>
    <row r="150" spans="1:5" ht="12.75">
      <c r="A150" s="53">
        <v>13900</v>
      </c>
      <c r="B150" s="50">
        <f t="shared" si="9"/>
        <v>0.1003605198075177</v>
      </c>
      <c r="C150" s="51">
        <f t="shared" si="10"/>
        <v>-1.2795000000000005</v>
      </c>
      <c r="D150" s="61">
        <f t="shared" si="8"/>
        <v>1.1406471302345442</v>
      </c>
      <c r="E150" s="62">
        <f t="shared" si="11"/>
        <v>0</v>
      </c>
    </row>
    <row r="151" spans="1:5" ht="12.75">
      <c r="A151" s="53">
        <v>14000</v>
      </c>
      <c r="B151" s="50">
        <f t="shared" si="9"/>
        <v>0.10239897528205288</v>
      </c>
      <c r="C151" s="51">
        <f t="shared" si="10"/>
        <v>-1.2680000000000007</v>
      </c>
      <c r="D151" s="61">
        <f t="shared" si="8"/>
        <v>2.010902590408694</v>
      </c>
      <c r="E151" s="62">
        <f t="shared" si="11"/>
        <v>0</v>
      </c>
    </row>
    <row r="152" spans="1:5" ht="12.75">
      <c r="A152" s="53">
        <v>14100</v>
      </c>
      <c r="B152" s="50">
        <f t="shared" si="9"/>
        <v>0.10446737296239605</v>
      </c>
      <c r="C152" s="51">
        <f t="shared" si="10"/>
        <v>-1.2565000000000004</v>
      </c>
      <c r="D152" s="61">
        <f t="shared" si="8"/>
        <v>1.1444506976644573</v>
      </c>
      <c r="E152" s="62">
        <f t="shared" si="11"/>
        <v>0</v>
      </c>
    </row>
    <row r="153" spans="1:5" ht="12.75">
      <c r="A153" s="53">
        <v>14200</v>
      </c>
      <c r="B153" s="50">
        <f t="shared" si="9"/>
        <v>0.10656587511761306</v>
      </c>
      <c r="C153" s="51">
        <f t="shared" si="10"/>
        <v>-1.2450000000000006</v>
      </c>
      <c r="D153" s="61">
        <f t="shared" si="8"/>
        <v>1.2466812187603387</v>
      </c>
      <c r="E153" s="62">
        <f t="shared" si="11"/>
        <v>0</v>
      </c>
    </row>
    <row r="154" spans="1:5" ht="12.75">
      <c r="A154" s="53">
        <v>14300</v>
      </c>
      <c r="B154" s="50">
        <f t="shared" si="9"/>
        <v>0.10869463835855164</v>
      </c>
      <c r="C154" s="51">
        <f t="shared" si="10"/>
        <v>-1.2335000000000003</v>
      </c>
      <c r="D154" s="61">
        <f t="shared" si="8"/>
        <v>0.9505551432811417</v>
      </c>
      <c r="E154" s="62">
        <f t="shared" si="11"/>
        <v>0</v>
      </c>
    </row>
    <row r="155" spans="1:5" ht="12.75">
      <c r="A155" s="53">
        <v>14400</v>
      </c>
      <c r="B155" s="50">
        <f t="shared" si="9"/>
        <v>0.11085381349329393</v>
      </c>
      <c r="C155" s="51">
        <f t="shared" si="10"/>
        <v>-1.222</v>
      </c>
      <c r="D155" s="61">
        <f t="shared" si="8"/>
        <v>-1.0776883718731418</v>
      </c>
      <c r="E155" s="62">
        <f t="shared" si="11"/>
        <v>0</v>
      </c>
    </row>
    <row r="156" spans="1:5" ht="12.75">
      <c r="A156" s="53">
        <v>14500</v>
      </c>
      <c r="B156" s="50">
        <f t="shared" si="9"/>
        <v>0.11304354538361294</v>
      </c>
      <c r="C156" s="51">
        <f t="shared" si="10"/>
        <v>-1.210500000000001</v>
      </c>
      <c r="D156" s="61">
        <f t="shared" si="8"/>
        <v>3.034986325255395</v>
      </c>
      <c r="E156" s="62">
        <f t="shared" si="11"/>
        <v>0</v>
      </c>
    </row>
    <row r="157" spans="1:5" ht="12.75">
      <c r="A157" s="53">
        <v>14600</v>
      </c>
      <c r="B157" s="50">
        <f t="shared" si="9"/>
        <v>0.11526397280254963</v>
      </c>
      <c r="C157" s="51">
        <f t="shared" si="10"/>
        <v>-1.1990000000000003</v>
      </c>
      <c r="D157" s="61">
        <f t="shared" si="8"/>
        <v>2.2701079903743313</v>
      </c>
      <c r="E157" s="62">
        <f t="shared" si="11"/>
        <v>0</v>
      </c>
    </row>
    <row r="158" spans="1:5" ht="12.75">
      <c r="A158" s="53">
        <v>14700</v>
      </c>
      <c r="B158" s="50">
        <f t="shared" si="9"/>
        <v>0.11751522829321415</v>
      </c>
      <c r="C158" s="51">
        <f t="shared" si="10"/>
        <v>-1.1875000000000009</v>
      </c>
      <c r="D158" s="61">
        <f t="shared" si="8"/>
        <v>0.520320987226868</v>
      </c>
      <c r="E158" s="62">
        <f t="shared" si="11"/>
        <v>0</v>
      </c>
    </row>
    <row r="159" spans="1:5" ht="12.75">
      <c r="A159" s="53">
        <v>14800</v>
      </c>
      <c r="B159" s="50">
        <f t="shared" si="9"/>
        <v>0.11979743802892862</v>
      </c>
      <c r="C159" s="51">
        <f t="shared" si="10"/>
        <v>-1.1760000000000006</v>
      </c>
      <c r="D159" s="61">
        <f t="shared" si="8"/>
        <v>-0.26571002448293934</v>
      </c>
      <c r="E159" s="62">
        <f t="shared" si="11"/>
        <v>0</v>
      </c>
    </row>
    <row r="160" spans="1:5" ht="12.75">
      <c r="A160" s="53">
        <v>14900</v>
      </c>
      <c r="B160" s="50">
        <f t="shared" si="9"/>
        <v>0.12211072167482018</v>
      </c>
      <c r="C160" s="51">
        <f t="shared" si="10"/>
        <v>-1.1645000000000003</v>
      </c>
      <c r="D160" s="61">
        <f t="shared" si="8"/>
        <v>0.36870611794887365</v>
      </c>
      <c r="E160" s="62">
        <f t="shared" si="11"/>
        <v>0</v>
      </c>
    </row>
    <row r="161" spans="1:5" ht="12.75">
      <c r="A161" s="53">
        <v>15000</v>
      </c>
      <c r="B161" s="50">
        <f t="shared" si="9"/>
        <v>0.12445519225097645</v>
      </c>
      <c r="C161" s="51">
        <f t="shared" si="10"/>
        <v>-1.1530000000000005</v>
      </c>
      <c r="D161" s="61">
        <f t="shared" si="8"/>
        <v>-0.48109236008780754</v>
      </c>
      <c r="E161" s="62">
        <f t="shared" si="11"/>
        <v>0</v>
      </c>
    </row>
    <row r="162" spans="1:5" ht="12.75">
      <c r="A162" s="53">
        <v>15100</v>
      </c>
      <c r="B162" s="50">
        <f t="shared" si="9"/>
        <v>0.12683095599727823</v>
      </c>
      <c r="C162" s="51">
        <f t="shared" si="10"/>
        <v>-1.1415000000000002</v>
      </c>
      <c r="D162" s="61">
        <f t="shared" si="8"/>
        <v>0.4071803750261369</v>
      </c>
      <c r="E162" s="62">
        <f t="shared" si="11"/>
        <v>0</v>
      </c>
    </row>
    <row r="163" spans="1:5" ht="12.75">
      <c r="A163" s="53">
        <v>15200</v>
      </c>
      <c r="B163" s="50">
        <f t="shared" si="9"/>
        <v>0.1292381122400177</v>
      </c>
      <c r="C163" s="51">
        <f t="shared" si="10"/>
        <v>-1.1300000000000008</v>
      </c>
      <c r="D163" s="61">
        <f t="shared" si="8"/>
        <v>2.9770363760095444</v>
      </c>
      <c r="E163" s="62">
        <f t="shared" si="11"/>
        <v>0</v>
      </c>
    </row>
    <row r="164" spans="1:5" ht="12.75">
      <c r="A164" s="53">
        <v>15300</v>
      </c>
      <c r="B164" s="50">
        <f t="shared" si="9"/>
        <v>0.1316767532604216</v>
      </c>
      <c r="C164" s="51">
        <f t="shared" si="10"/>
        <v>-1.1185</v>
      </c>
      <c r="D164" s="61">
        <f t="shared" si="8"/>
        <v>-0.0733176110445577</v>
      </c>
      <c r="E164" s="62">
        <f t="shared" si="11"/>
        <v>0</v>
      </c>
    </row>
    <row r="165" spans="1:5" ht="12.75">
      <c r="A165" s="53">
        <v>15400</v>
      </c>
      <c r="B165" s="50">
        <f t="shared" si="9"/>
        <v>0.13414696416518312</v>
      </c>
      <c r="C165" s="51">
        <f t="shared" si="10"/>
        <v>-1.1070000000000002</v>
      </c>
      <c r="D165" s="61">
        <f t="shared" si="8"/>
        <v>0.27870474870806355</v>
      </c>
      <c r="E165" s="62">
        <f t="shared" si="11"/>
        <v>0</v>
      </c>
    </row>
    <row r="166" spans="1:5" ht="12.75">
      <c r="A166" s="53">
        <v>15500</v>
      </c>
      <c r="B166" s="50">
        <f t="shared" si="9"/>
        <v>0.1366488227591247</v>
      </c>
      <c r="C166" s="51">
        <f t="shared" si="10"/>
        <v>-1.0955000000000008</v>
      </c>
      <c r="D166" s="61">
        <f t="shared" si="8"/>
        <v>0.9158870546623217</v>
      </c>
      <c r="E166" s="62">
        <f t="shared" si="11"/>
        <v>0</v>
      </c>
    </row>
    <row r="167" spans="1:5" ht="12.75">
      <c r="A167" s="53">
        <v>15600</v>
      </c>
      <c r="B167" s="50">
        <f t="shared" si="9"/>
        <v>0.13918239942009802</v>
      </c>
      <c r="C167" s="51">
        <f t="shared" si="10"/>
        <v>-1.0840000000000005</v>
      </c>
      <c r="D167" s="61">
        <f t="shared" si="8"/>
        <v>2.2259724931067617</v>
      </c>
      <c r="E167" s="62">
        <f t="shared" si="11"/>
        <v>0</v>
      </c>
    </row>
    <row r="168" spans="1:5" ht="12.75">
      <c r="A168" s="53">
        <v>15700</v>
      </c>
      <c r="B168" s="50">
        <f t="shared" si="9"/>
        <v>0.1417477569762332</v>
      </c>
      <c r="C168" s="51">
        <f t="shared" si="10"/>
        <v>-1.0725000000000002</v>
      </c>
      <c r="D168" s="61">
        <f t="shared" si="8"/>
        <v>1.264450719360619</v>
      </c>
      <c r="E168" s="62">
        <f t="shared" si="11"/>
        <v>0</v>
      </c>
    </row>
    <row r="169" spans="1:5" ht="12.75">
      <c r="A169" s="53">
        <v>15800</v>
      </c>
      <c r="B169" s="50">
        <f t="shared" si="9"/>
        <v>0.14434495058565266</v>
      </c>
      <c r="C169" s="51">
        <f t="shared" si="10"/>
        <v>-1.0610000000000004</v>
      </c>
      <c r="D169" s="61">
        <f t="shared" si="8"/>
        <v>1.6814424102214935</v>
      </c>
      <c r="E169" s="62">
        <f t="shared" si="11"/>
        <v>0</v>
      </c>
    </row>
    <row r="170" spans="1:5" ht="12.75">
      <c r="A170" s="53">
        <v>15900</v>
      </c>
      <c r="B170" s="50">
        <f t="shared" si="9"/>
        <v>0.14697402761875866</v>
      </c>
      <c r="C170" s="51">
        <f t="shared" si="10"/>
        <v>-1.0495</v>
      </c>
      <c r="D170" s="61">
        <f t="shared" si="8"/>
        <v>3.042064626567927</v>
      </c>
      <c r="E170" s="62">
        <f t="shared" si="11"/>
        <v>0</v>
      </c>
    </row>
    <row r="171" spans="1:5" ht="12.75">
      <c r="A171" s="53">
        <v>16000</v>
      </c>
      <c r="B171" s="50">
        <f t="shared" si="9"/>
        <v>0.1496350275432028</v>
      </c>
      <c r="C171" s="51">
        <f t="shared" si="10"/>
        <v>-1.0380000000000003</v>
      </c>
      <c r="D171" s="61">
        <f t="shared" si="8"/>
        <v>1.899720491607243</v>
      </c>
      <c r="E171" s="62">
        <f t="shared" si="11"/>
        <v>0</v>
      </c>
    </row>
    <row r="172" spans="1:5" ht="12.75">
      <c r="A172" s="53">
        <v>16100</v>
      </c>
      <c r="B172" s="50">
        <f t="shared" si="9"/>
        <v>0.15232798181165086</v>
      </c>
      <c r="C172" s="51">
        <f t="shared" si="10"/>
        <v>-1.0265</v>
      </c>
      <c r="D172" s="61">
        <f t="shared" si="8"/>
        <v>-0.6325034891706371</v>
      </c>
      <c r="E172" s="62">
        <f t="shared" si="11"/>
        <v>0</v>
      </c>
    </row>
    <row r="173" spans="1:5" ht="12.75">
      <c r="A173" s="53">
        <v>16200</v>
      </c>
      <c r="B173" s="50">
        <f t="shared" si="9"/>
        <v>0.15505291375244945</v>
      </c>
      <c r="C173" s="51">
        <f t="shared" si="10"/>
        <v>-1.015000000000001</v>
      </c>
      <c r="D173" s="61">
        <f t="shared" si="8"/>
        <v>1.8867886298522405</v>
      </c>
      <c r="E173" s="62">
        <f t="shared" si="11"/>
        <v>0</v>
      </c>
    </row>
    <row r="174" spans="1:5" ht="12.75">
      <c r="A174" s="53">
        <v>16300</v>
      </c>
      <c r="B174" s="50">
        <f t="shared" si="9"/>
        <v>0.157809838463304</v>
      </c>
      <c r="C174" s="51">
        <f t="shared" si="10"/>
        <v>-1.0035000000000003</v>
      </c>
      <c r="D174" s="61">
        <f t="shared" si="8"/>
        <v>1.2504745711814567</v>
      </c>
      <c r="E174" s="62">
        <f t="shared" si="11"/>
        <v>0</v>
      </c>
    </row>
    <row r="175" spans="1:5" ht="12.75">
      <c r="A175" s="53">
        <v>16400</v>
      </c>
      <c r="B175" s="50">
        <f t="shared" si="9"/>
        <v>0.1605987627080705</v>
      </c>
      <c r="C175" s="51">
        <f t="shared" si="10"/>
        <v>-0.9920000000000004</v>
      </c>
      <c r="D175" s="61">
        <f t="shared" si="8"/>
        <v>1.7600278403264424</v>
      </c>
      <c r="E175" s="62">
        <f t="shared" si="11"/>
        <v>0</v>
      </c>
    </row>
    <row r="176" spans="1:5" ht="12.75">
      <c r="A176" s="53">
        <v>16500</v>
      </c>
      <c r="B176" s="50">
        <f t="shared" si="9"/>
        <v>0.1634196848167737</v>
      </c>
      <c r="C176" s="51">
        <f t="shared" si="10"/>
        <v>-0.9805000000000004</v>
      </c>
      <c r="D176" s="61">
        <f t="shared" si="8"/>
        <v>1.5837258708129869</v>
      </c>
      <c r="E176" s="62">
        <f t="shared" si="11"/>
        <v>0</v>
      </c>
    </row>
    <row r="177" spans="1:5" ht="12.75">
      <c r="A177" s="53">
        <v>16600</v>
      </c>
      <c r="B177" s="50">
        <f t="shared" si="9"/>
        <v>0.1662725945889485</v>
      </c>
      <c r="C177" s="51">
        <f t="shared" si="10"/>
        <v>-0.9690000000000001</v>
      </c>
      <c r="D177" s="61">
        <f t="shared" si="8"/>
        <v>2.1089118236855655</v>
      </c>
      <c r="E177" s="62">
        <f t="shared" si="11"/>
        <v>0</v>
      </c>
    </row>
    <row r="178" spans="1:5" ht="12.75">
      <c r="A178" s="53">
        <v>16700</v>
      </c>
      <c r="B178" s="50">
        <f t="shared" si="9"/>
        <v>0.16915747320041163</v>
      </c>
      <c r="C178" s="51">
        <f t="shared" si="10"/>
        <v>-0.9575</v>
      </c>
      <c r="D178" s="61">
        <f t="shared" si="8"/>
        <v>0.5258283250901503</v>
      </c>
      <c r="E178" s="62">
        <f t="shared" si="11"/>
        <v>0</v>
      </c>
    </row>
    <row r="179" spans="1:5" ht="12.75">
      <c r="A179" s="53">
        <v>16800</v>
      </c>
      <c r="B179" s="50">
        <f t="shared" si="9"/>
        <v>0.17207429311356293</v>
      </c>
      <c r="C179" s="51">
        <f t="shared" si="10"/>
        <v>-0.946</v>
      </c>
      <c r="D179" s="61">
        <f t="shared" si="8"/>
        <v>0.31029869578333136</v>
      </c>
      <c r="E179" s="62">
        <f t="shared" si="11"/>
        <v>0</v>
      </c>
    </row>
    <row r="180" spans="1:5" ht="12.75">
      <c r="A180" s="53">
        <v>16900</v>
      </c>
      <c r="B180" s="50">
        <f t="shared" si="9"/>
        <v>0.17502301799131792</v>
      </c>
      <c r="C180" s="51">
        <f t="shared" si="10"/>
        <v>-0.9345000000000008</v>
      </c>
      <c r="D180" s="61">
        <f t="shared" si="8"/>
        <v>-0.6271036259784526</v>
      </c>
      <c r="E180" s="62">
        <f t="shared" si="11"/>
        <v>0</v>
      </c>
    </row>
    <row r="181" spans="1:5" ht="12.75">
      <c r="A181" s="53">
        <v>17000</v>
      </c>
      <c r="B181" s="50">
        <f t="shared" si="9"/>
        <v>0.1780036026147649</v>
      </c>
      <c r="C181" s="51">
        <f t="shared" si="10"/>
        <v>-0.9230000000000005</v>
      </c>
      <c r="D181" s="61">
        <f t="shared" si="8"/>
        <v>0.8422475782589777</v>
      </c>
      <c r="E181" s="62">
        <f t="shared" si="11"/>
        <v>0</v>
      </c>
    </row>
    <row r="182" spans="1:5" ht="12.75">
      <c r="A182" s="53">
        <v>17100</v>
      </c>
      <c r="B182" s="50">
        <f t="shared" si="9"/>
        <v>0.18101599280464686</v>
      </c>
      <c r="C182" s="51">
        <f t="shared" si="10"/>
        <v>-0.9115</v>
      </c>
      <c r="D182" s="61">
        <f t="shared" si="8"/>
        <v>1.188608698921868</v>
      </c>
      <c r="E182" s="62">
        <f t="shared" si="11"/>
        <v>0</v>
      </c>
    </row>
    <row r="183" spans="1:5" ht="12.75">
      <c r="A183" s="53">
        <v>17200</v>
      </c>
      <c r="B183" s="50">
        <f t="shared" si="9"/>
        <v>0.18406012534675953</v>
      </c>
      <c r="C183" s="51">
        <f t="shared" si="10"/>
        <v>-0.9000000000000004</v>
      </c>
      <c r="D183" s="61">
        <f t="shared" si="8"/>
        <v>1.9859369161875966</v>
      </c>
      <c r="E183" s="62">
        <f t="shared" si="11"/>
        <v>0</v>
      </c>
    </row>
    <row r="184" spans="1:5" ht="12.75">
      <c r="A184" s="53">
        <v>17300</v>
      </c>
      <c r="B184" s="50">
        <f t="shared" si="9"/>
        <v>0.18713592792135847</v>
      </c>
      <c r="C184" s="51">
        <f t="shared" si="10"/>
        <v>-0.8885000000000007</v>
      </c>
      <c r="D184" s="61">
        <f t="shared" si="8"/>
        <v>1.604844754050683</v>
      </c>
      <c r="E184" s="62">
        <f t="shared" si="11"/>
        <v>0</v>
      </c>
    </row>
    <row r="185" spans="1:5" ht="12.75">
      <c r="A185" s="53">
        <v>17400</v>
      </c>
      <c r="B185" s="50">
        <f t="shared" si="9"/>
        <v>0.19024331903666325</v>
      </c>
      <c r="C185" s="51">
        <f t="shared" si="10"/>
        <v>-0.8770000000000007</v>
      </c>
      <c r="D185" s="61">
        <f t="shared" si="8"/>
        <v>2.6616166807863517</v>
      </c>
      <c r="E185" s="62">
        <f t="shared" si="11"/>
        <v>0</v>
      </c>
    </row>
    <row r="186" spans="1:5" ht="12.75">
      <c r="A186" s="53">
        <v>17500</v>
      </c>
      <c r="B186" s="50">
        <f t="shared" si="9"/>
        <v>0.19338220796654593</v>
      </c>
      <c r="C186" s="51">
        <f t="shared" si="10"/>
        <v>-0.8655000000000008</v>
      </c>
      <c r="D186" s="61">
        <f t="shared" si="8"/>
        <v>0.9629945770803522</v>
      </c>
      <c r="E186" s="62">
        <f t="shared" si="11"/>
        <v>0</v>
      </c>
    </row>
    <row r="187" spans="1:5" ht="12.75">
      <c r="A187" s="53">
        <v>17600</v>
      </c>
      <c r="B187" s="50">
        <f t="shared" si="9"/>
        <v>0.19655249469249103</v>
      </c>
      <c r="C187" s="51">
        <f t="shared" si="10"/>
        <v>-0.8540000000000003</v>
      </c>
      <c r="D187" s="61">
        <f t="shared" si="8"/>
        <v>0.9223660552095253</v>
      </c>
      <c r="E187" s="62">
        <f t="shared" si="11"/>
        <v>0</v>
      </c>
    </row>
    <row r="188" spans="1:5" ht="12.75">
      <c r="A188" s="53">
        <v>17700</v>
      </c>
      <c r="B188" s="50">
        <f t="shared" si="9"/>
        <v>0.19975406984990496</v>
      </c>
      <c r="C188" s="51">
        <f t="shared" si="10"/>
        <v>-0.8425000000000007</v>
      </c>
      <c r="D188" s="61">
        <f t="shared" si="8"/>
        <v>0.8980223177242772</v>
      </c>
      <c r="E188" s="62">
        <f t="shared" si="11"/>
        <v>0</v>
      </c>
    </row>
    <row r="189" spans="1:5" ht="12.75">
      <c r="A189" s="53">
        <v>17800</v>
      </c>
      <c r="B189" s="50">
        <f t="shared" si="9"/>
        <v>0.20298681467885904</v>
      </c>
      <c r="C189" s="51">
        <f t="shared" si="10"/>
        <v>-0.8310000000000002</v>
      </c>
      <c r="D189" s="61">
        <f t="shared" si="8"/>
        <v>0.17404603120513323</v>
      </c>
      <c r="E189" s="62">
        <f t="shared" si="11"/>
        <v>0</v>
      </c>
    </row>
    <row r="190" spans="1:5" ht="12.75">
      <c r="A190" s="53">
        <v>17900</v>
      </c>
      <c r="B190" s="50">
        <f t="shared" si="9"/>
        <v>0.20625060097933745</v>
      </c>
      <c r="C190" s="51">
        <f t="shared" si="10"/>
        <v>-0.8195000000000006</v>
      </c>
      <c r="D190" s="61">
        <f t="shared" si="8"/>
        <v>1.857292031159957</v>
      </c>
      <c r="E190" s="62">
        <f t="shared" si="11"/>
        <v>0</v>
      </c>
    </row>
    <row r="191" spans="1:5" ht="12.75">
      <c r="A191" s="53">
        <v>18000</v>
      </c>
      <c r="B191" s="50">
        <f t="shared" si="9"/>
        <v>0.20954529107107067</v>
      </c>
      <c r="C191" s="51">
        <f t="shared" si="10"/>
        <v>-0.8080000000000003</v>
      </c>
      <c r="D191" s="61">
        <f t="shared" si="8"/>
        <v>1.2705329228165543</v>
      </c>
      <c r="E191" s="62">
        <f t="shared" si="11"/>
        <v>0</v>
      </c>
    </row>
    <row r="192" spans="1:5" ht="12.75">
      <c r="A192" s="53">
        <v>18100</v>
      </c>
      <c r="B192" s="50">
        <f t="shared" si="9"/>
        <v>0.21287073775801857</v>
      </c>
      <c r="C192" s="51">
        <f t="shared" si="10"/>
        <v>-0.7965</v>
      </c>
      <c r="D192" s="61">
        <f t="shared" si="8"/>
        <v>0.6718287777652374</v>
      </c>
      <c r="E192" s="62">
        <f t="shared" si="11"/>
        <v>0</v>
      </c>
    </row>
    <row r="193" spans="1:5" ht="12.75">
      <c r="A193" s="53">
        <v>18200</v>
      </c>
      <c r="B193" s="50">
        <f t="shared" si="9"/>
        <v>0.21622678429757558</v>
      </c>
      <c r="C193" s="51">
        <f t="shared" si="10"/>
        <v>-0.7850000000000001</v>
      </c>
      <c r="D193" s="61">
        <f t="shared" si="8"/>
        <v>0.12846025285610593</v>
      </c>
      <c r="E193" s="62">
        <f t="shared" si="11"/>
        <v>0</v>
      </c>
    </row>
    <row r="194" spans="1:5" ht="12.75">
      <c r="A194" s="53">
        <v>18300</v>
      </c>
      <c r="B194" s="50">
        <f t="shared" si="9"/>
        <v>0.21961326437456208</v>
      </c>
      <c r="C194" s="51">
        <f t="shared" si="10"/>
        <v>-0.7735000000000001</v>
      </c>
      <c r="D194" s="61">
        <f t="shared" si="8"/>
        <v>-0.28343951516357535</v>
      </c>
      <c r="E194" s="62">
        <f t="shared" si="11"/>
        <v>0</v>
      </c>
    </row>
    <row r="195" spans="1:5" ht="12.75">
      <c r="A195" s="53">
        <v>18400</v>
      </c>
      <c r="B195" s="50">
        <f t="shared" si="9"/>
        <v>0.2230300020800624</v>
      </c>
      <c r="C195" s="51">
        <f t="shared" si="10"/>
        <v>-0.7620000000000002</v>
      </c>
      <c r="D195" s="61">
        <f t="shared" si="8"/>
        <v>1.6697183186547522</v>
      </c>
      <c r="E195" s="62">
        <f t="shared" si="11"/>
        <v>0</v>
      </c>
    </row>
    <row r="196" spans="1:5" ht="12.75">
      <c r="A196" s="53">
        <v>18500</v>
      </c>
      <c r="B196" s="50">
        <f t="shared" si="9"/>
        <v>0.22647681189516833</v>
      </c>
      <c r="C196" s="51">
        <f t="shared" si="10"/>
        <v>-0.7505000000000004</v>
      </c>
      <c r="D196" s="61">
        <f t="shared" si="8"/>
        <v>1.995870563283976</v>
      </c>
      <c r="E196" s="62">
        <f t="shared" si="11"/>
        <v>0</v>
      </c>
    </row>
    <row r="197" spans="1:5" ht="12.75">
      <c r="A197" s="53">
        <v>18600</v>
      </c>
      <c r="B197" s="50">
        <f t="shared" si="9"/>
        <v>0.2299534986796834</v>
      </c>
      <c r="C197" s="51">
        <f t="shared" si="10"/>
        <v>-0.7390000000000003</v>
      </c>
      <c r="D197" s="61">
        <f t="shared" si="8"/>
        <v>0.800814073575161</v>
      </c>
      <c r="E197" s="62">
        <f t="shared" si="11"/>
        <v>0</v>
      </c>
    </row>
    <row r="198" spans="1:5" ht="12.75">
      <c r="A198" s="53">
        <v>18700</v>
      </c>
      <c r="B198" s="50">
        <f t="shared" si="9"/>
        <v>0.2334598576658391</v>
      </c>
      <c r="C198" s="51">
        <f t="shared" si="10"/>
        <v>-0.7275000000000005</v>
      </c>
      <c r="D198" s="61">
        <f t="shared" si="8"/>
        <v>1.4741158709883802</v>
      </c>
      <c r="E198" s="62">
        <f t="shared" si="11"/>
        <v>0</v>
      </c>
    </row>
    <row r="199" spans="1:5" ht="12.75">
      <c r="A199" s="53">
        <v>18800</v>
      </c>
      <c r="B199" s="50">
        <f t="shared" si="9"/>
        <v>0.2369956744570716</v>
      </c>
      <c r="C199" s="51">
        <f t="shared" si="10"/>
        <v>-0.7160000000000004</v>
      </c>
      <c r="D199" s="61">
        <f t="shared" si="8"/>
        <v>1.4170363854790724</v>
      </c>
      <c r="E199" s="62">
        <f t="shared" si="11"/>
        <v>0</v>
      </c>
    </row>
    <row r="200" spans="1:5" ht="12.75">
      <c r="A200" s="53">
        <v>18900</v>
      </c>
      <c r="B200" s="50">
        <f t="shared" si="9"/>
        <v>0.24056072503190196</v>
      </c>
      <c r="C200" s="51">
        <f t="shared" si="10"/>
        <v>-0.7045000000000001</v>
      </c>
      <c r="D200" s="61">
        <f t="shared" si="8"/>
        <v>-0.9975106353258374</v>
      </c>
      <c r="E200" s="62">
        <f t="shared" si="11"/>
        <v>1</v>
      </c>
    </row>
    <row r="201" spans="1:5" ht="12.75">
      <c r="A201" s="53">
        <v>19000</v>
      </c>
      <c r="B201" s="50">
        <f t="shared" si="9"/>
        <v>0.24415477575296174</v>
      </c>
      <c r="C201" s="51">
        <f t="shared" si="10"/>
        <v>-0.6930000000000003</v>
      </c>
      <c r="D201" s="61">
        <f t="shared" si="8"/>
        <v>1.2044360299237264</v>
      </c>
      <c r="E201" s="62">
        <f t="shared" si="11"/>
        <v>0</v>
      </c>
    </row>
    <row r="202" spans="1:5" ht="12.75">
      <c r="A202" s="53">
        <v>19100</v>
      </c>
      <c r="B202" s="50">
        <f t="shared" si="9"/>
        <v>0.24777758338120104</v>
      </c>
      <c r="C202" s="51">
        <f t="shared" si="10"/>
        <v>-0.6815000000000007</v>
      </c>
      <c r="D202" s="61">
        <f t="shared" si="8"/>
        <v>0.6704942563699781</v>
      </c>
      <c r="E202" s="62">
        <f t="shared" si="11"/>
        <v>0</v>
      </c>
    </row>
    <row r="203" spans="1:5" ht="12.75">
      <c r="A203" s="53">
        <v>19200</v>
      </c>
      <c r="B203" s="50">
        <f t="shared" si="9"/>
        <v>0.2514288950953101</v>
      </c>
      <c r="C203" s="51">
        <f t="shared" si="10"/>
        <v>-0.6700000000000004</v>
      </c>
      <c r="D203" s="61">
        <f aca="true" t="shared" si="12" ref="D203:D266">NORMALRANDOM(0,1)</f>
        <v>1.6190678762586481</v>
      </c>
      <c r="E203" s="62">
        <f t="shared" si="11"/>
        <v>0</v>
      </c>
    </row>
    <row r="204" spans="1:5" ht="12.75">
      <c r="A204" s="53">
        <v>19300</v>
      </c>
      <c r="B204" s="50">
        <f aca="true" t="shared" si="13" ref="B204:B267">NORMDIST(intercept+slope*A204,0,1,1)</f>
        <v>0.25510844851638637</v>
      </c>
      <c r="C204" s="51">
        <f aca="true" t="shared" si="14" ref="C204:C267">NORMINV(B204,0,1)</f>
        <v>-0.6585000000000003</v>
      </c>
      <c r="D204" s="61">
        <f t="shared" si="12"/>
        <v>1.2363097465169637</v>
      </c>
      <c r="E204" s="62">
        <f aca="true" t="shared" si="15" ref="E204:E267">IF(D204&lt;C204,1,0)</f>
        <v>0</v>
      </c>
    </row>
    <row r="205" spans="1:5" ht="12.75">
      <c r="A205" s="53">
        <v>19400</v>
      </c>
      <c r="B205" s="50">
        <f t="shared" si="13"/>
        <v>0.2588159717378702</v>
      </c>
      <c r="C205" s="51">
        <f t="shared" si="14"/>
        <v>-0.6470000000000005</v>
      </c>
      <c r="D205" s="61">
        <f t="shared" si="12"/>
        <v>0.9371870434628559</v>
      </c>
      <c r="E205" s="62">
        <f t="shared" si="15"/>
        <v>0</v>
      </c>
    </row>
    <row r="206" spans="1:5" ht="12.75">
      <c r="A206" s="53">
        <v>19500</v>
      </c>
      <c r="B206" s="50">
        <f t="shared" si="13"/>
        <v>0.2625511833607713</v>
      </c>
      <c r="C206" s="51">
        <f t="shared" si="14"/>
        <v>-0.6355</v>
      </c>
      <c r="D206" s="61">
        <f t="shared" si="12"/>
        <v>2.2412805695939424</v>
      </c>
      <c r="E206" s="62">
        <f t="shared" si="15"/>
        <v>0</v>
      </c>
    </row>
    <row r="207" spans="1:5" ht="12.75">
      <c r="A207" s="53">
        <v>19600</v>
      </c>
      <c r="B207" s="50">
        <f t="shared" si="13"/>
        <v>0.2663137925342024</v>
      </c>
      <c r="C207" s="51">
        <f t="shared" si="14"/>
        <v>-0.6240000000000003</v>
      </c>
      <c r="D207" s="61">
        <f t="shared" si="12"/>
        <v>2.9244898143368583</v>
      </c>
      <c r="E207" s="62">
        <f t="shared" si="15"/>
        <v>0</v>
      </c>
    </row>
    <row r="208" spans="1:5" ht="12.75">
      <c r="A208" s="53">
        <v>19700</v>
      </c>
      <c r="B208" s="50">
        <f t="shared" si="13"/>
        <v>0.2701034990012352</v>
      </c>
      <c r="C208" s="51">
        <f t="shared" si="14"/>
        <v>-0.6125000000000005</v>
      </c>
      <c r="D208" s="61">
        <f t="shared" si="12"/>
        <v>0.10963367232554588</v>
      </c>
      <c r="E208" s="62">
        <f t="shared" si="15"/>
        <v>0</v>
      </c>
    </row>
    <row r="209" spans="1:5" ht="12.75">
      <c r="A209" s="53">
        <v>19800</v>
      </c>
      <c r="B209" s="50">
        <f t="shared" si="13"/>
        <v>0.27391999315008464</v>
      </c>
      <c r="C209" s="51">
        <f t="shared" si="14"/>
        <v>-0.6010000000000002</v>
      </c>
      <c r="D209" s="61">
        <f t="shared" si="12"/>
        <v>2.4806345493370934</v>
      </c>
      <c r="E209" s="62">
        <f t="shared" si="15"/>
        <v>0</v>
      </c>
    </row>
    <row r="210" spans="1:5" ht="12.75">
      <c r="A210" s="53">
        <v>19900</v>
      </c>
      <c r="B210" s="50">
        <f t="shared" si="13"/>
        <v>0.27776295607062784</v>
      </c>
      <c r="C210" s="51">
        <f t="shared" si="14"/>
        <v>-0.5895000000000004</v>
      </c>
      <c r="D210" s="61">
        <f t="shared" si="12"/>
        <v>0.8337365210633368</v>
      </c>
      <c r="E210" s="62">
        <f t="shared" si="15"/>
        <v>0</v>
      </c>
    </row>
    <row r="211" spans="1:5" ht="12.75">
      <c r="A211" s="53">
        <v>20000</v>
      </c>
      <c r="B211" s="50">
        <f t="shared" si="13"/>
        <v>0.28163205961626003</v>
      </c>
      <c r="C211" s="51">
        <f t="shared" si="14"/>
        <v>-0.5779999999999998</v>
      </c>
      <c r="D211" s="61">
        <f t="shared" si="12"/>
        <v>1.7549216044193565</v>
      </c>
      <c r="E211" s="62">
        <f t="shared" si="15"/>
        <v>0</v>
      </c>
    </row>
    <row r="212" spans="1:5" ht="12.75">
      <c r="A212" s="53">
        <v>20100</v>
      </c>
      <c r="B212" s="50">
        <f t="shared" si="13"/>
        <v>0.28552696647107856</v>
      </c>
      <c r="C212" s="51">
        <f t="shared" si="14"/>
        <v>-0.5665</v>
      </c>
      <c r="D212" s="61">
        <f t="shared" si="12"/>
        <v>-1.2596075070756303</v>
      </c>
      <c r="E212" s="62">
        <f t="shared" si="15"/>
        <v>1</v>
      </c>
    </row>
    <row r="213" spans="1:5" ht="12.75">
      <c r="A213" s="53">
        <v>20200</v>
      </c>
      <c r="B213" s="50">
        <f t="shared" si="13"/>
        <v>0.2894473302223942</v>
      </c>
      <c r="C213" s="51">
        <f t="shared" si="14"/>
        <v>-0.5550000000000002</v>
      </c>
      <c r="D213" s="61">
        <f t="shared" si="12"/>
        <v>1.5248224848512344</v>
      </c>
      <c r="E213" s="62">
        <f t="shared" si="15"/>
        <v>0</v>
      </c>
    </row>
    <row r="214" spans="1:5" ht="12.75">
      <c r="A214" s="53">
        <v>20300</v>
      </c>
      <c r="B214" s="50">
        <f t="shared" si="13"/>
        <v>0.293392795438551</v>
      </c>
      <c r="C214" s="51">
        <f t="shared" si="14"/>
        <v>-0.5434999999999999</v>
      </c>
      <c r="D214" s="61">
        <f t="shared" si="12"/>
        <v>0.9417644886783375</v>
      </c>
      <c r="E214" s="62">
        <f t="shared" si="15"/>
        <v>0</v>
      </c>
    </row>
    <row r="215" spans="1:5" ht="12.75">
      <c r="A215" s="53">
        <v>20400</v>
      </c>
      <c r="B215" s="50">
        <f t="shared" si="13"/>
        <v>0.29736299775204134</v>
      </c>
      <c r="C215" s="51">
        <f t="shared" si="14"/>
        <v>-0.5320000000000003</v>
      </c>
      <c r="D215" s="61">
        <f t="shared" si="12"/>
        <v>1.148449926073107</v>
      </c>
      <c r="E215" s="62">
        <f t="shared" si="15"/>
        <v>0</v>
      </c>
    </row>
    <row r="216" spans="1:5" ht="12.75">
      <c r="A216" s="53">
        <v>20500</v>
      </c>
      <c r="B216" s="50">
        <f t="shared" si="13"/>
        <v>0.3013575639478958</v>
      </c>
      <c r="C216" s="51">
        <f t="shared" si="14"/>
        <v>-0.5205000000000004</v>
      </c>
      <c r="D216" s="61">
        <f t="shared" si="12"/>
        <v>1.375512107469246</v>
      </c>
      <c r="E216" s="62">
        <f t="shared" si="15"/>
        <v>0</v>
      </c>
    </row>
    <row r="217" spans="1:5" ht="12.75">
      <c r="A217" s="53">
        <v>20600</v>
      </c>
      <c r="B217" s="50">
        <f t="shared" si="13"/>
        <v>0.30537611205732107</v>
      </c>
      <c r="C217" s="51">
        <f t="shared" si="14"/>
        <v>-0.5089999999999999</v>
      </c>
      <c r="D217" s="61">
        <f t="shared" si="12"/>
        <v>1.6364635935270795</v>
      </c>
      <c r="E217" s="62">
        <f t="shared" si="15"/>
        <v>0</v>
      </c>
    </row>
    <row r="218" spans="1:5" ht="12.75">
      <c r="A218" s="53">
        <v>20700</v>
      </c>
      <c r="B218" s="50">
        <f t="shared" si="13"/>
        <v>0.30941825145655566</v>
      </c>
      <c r="C218" s="51">
        <f t="shared" si="14"/>
        <v>-0.49750000000000016</v>
      </c>
      <c r="D218" s="61">
        <f t="shared" si="12"/>
        <v>1.4196421540506474</v>
      </c>
      <c r="E218" s="62">
        <f t="shared" si="15"/>
        <v>0</v>
      </c>
    </row>
    <row r="219" spans="1:5" ht="12.75">
      <c r="A219" s="53">
        <v>20800</v>
      </c>
      <c r="B219" s="50">
        <f t="shared" si="13"/>
        <v>0.3134835829709135</v>
      </c>
      <c r="C219" s="51">
        <f t="shared" si="14"/>
        <v>-0.48600000000000054</v>
      </c>
      <c r="D219" s="61">
        <f t="shared" si="12"/>
        <v>-0.015271427446921195</v>
      </c>
      <c r="E219" s="62">
        <f t="shared" si="15"/>
        <v>0</v>
      </c>
    </row>
    <row r="220" spans="1:5" ht="12.75">
      <c r="A220" s="53">
        <v>20900</v>
      </c>
      <c r="B220" s="50">
        <f t="shared" si="13"/>
        <v>0.3175716989839721</v>
      </c>
      <c r="C220" s="51">
        <f t="shared" si="14"/>
        <v>-0.47450000000000025</v>
      </c>
      <c r="D220" s="61">
        <f t="shared" si="12"/>
        <v>0.4559388751798369</v>
      </c>
      <c r="E220" s="62">
        <f t="shared" si="15"/>
        <v>0</v>
      </c>
    </row>
    <row r="221" spans="1:5" ht="12.75">
      <c r="A221" s="53">
        <v>21000</v>
      </c>
      <c r="B221" s="50">
        <f t="shared" si="13"/>
        <v>0.3216821835518655</v>
      </c>
      <c r="C221" s="51">
        <f t="shared" si="14"/>
        <v>-0.4630000000000004</v>
      </c>
      <c r="D221" s="61">
        <f t="shared" si="12"/>
        <v>2.656622149595411</v>
      </c>
      <c r="E221" s="62">
        <f t="shared" si="15"/>
        <v>0</v>
      </c>
    </row>
    <row r="222" spans="1:5" ht="12.75">
      <c r="A222" s="53">
        <v>21100</v>
      </c>
      <c r="B222" s="50">
        <f t="shared" si="13"/>
        <v>0.32581461252263666</v>
      </c>
      <c r="C222" s="51">
        <f t="shared" si="14"/>
        <v>-0.45150000000000023</v>
      </c>
      <c r="D222" s="61">
        <f t="shared" si="12"/>
        <v>0.3908215205840154</v>
      </c>
      <c r="E222" s="62">
        <f t="shared" si="15"/>
        <v>0</v>
      </c>
    </row>
    <row r="223" spans="1:5" ht="12.75">
      <c r="A223" s="53">
        <v>21200</v>
      </c>
      <c r="B223" s="50">
        <f t="shared" si="13"/>
        <v>0.32996855366059374</v>
      </c>
      <c r="C223" s="51">
        <f t="shared" si="14"/>
        <v>-0.43999999999999995</v>
      </c>
      <c r="D223" s="61">
        <f t="shared" si="12"/>
        <v>0.7747537550457364</v>
      </c>
      <c r="E223" s="62">
        <f t="shared" si="15"/>
        <v>0</v>
      </c>
    </row>
    <row r="224" spans="1:5" ht="12.75">
      <c r="A224" s="53">
        <v>21300</v>
      </c>
      <c r="B224" s="50">
        <f t="shared" si="13"/>
        <v>0.3341435667756192</v>
      </c>
      <c r="C224" s="51">
        <f t="shared" si="14"/>
        <v>-0.4285000000000002</v>
      </c>
      <c r="D224" s="61">
        <f t="shared" si="12"/>
        <v>0.8243021856853238</v>
      </c>
      <c r="E224" s="62">
        <f t="shared" si="15"/>
        <v>0</v>
      </c>
    </row>
    <row r="225" spans="1:5" ht="12.75">
      <c r="A225" s="53">
        <v>21400</v>
      </c>
      <c r="B225" s="50">
        <f t="shared" si="13"/>
        <v>0.33833920385737015</v>
      </c>
      <c r="C225" s="51">
        <f t="shared" si="14"/>
        <v>-0.41700000000000026</v>
      </c>
      <c r="D225" s="61">
        <f t="shared" si="12"/>
        <v>1.4226305683300458</v>
      </c>
      <c r="E225" s="62">
        <f t="shared" si="15"/>
        <v>0</v>
      </c>
    </row>
    <row r="226" spans="1:5" ht="12.75">
      <c r="A226" s="53">
        <v>21500</v>
      </c>
      <c r="B226" s="50">
        <f t="shared" si="13"/>
        <v>0.34255500921430593</v>
      </c>
      <c r="C226" s="51">
        <f t="shared" si="14"/>
        <v>-0.4055000000000001</v>
      </c>
      <c r="D226" s="61">
        <f t="shared" si="12"/>
        <v>-0.036780480872275145</v>
      </c>
      <c r="E226" s="62">
        <f t="shared" si="15"/>
        <v>0</v>
      </c>
    </row>
    <row r="227" spans="1:5" ht="12.75">
      <c r="A227" s="53">
        <v>21600</v>
      </c>
      <c r="B227" s="50">
        <f t="shared" si="13"/>
        <v>0.3467905196174751</v>
      </c>
      <c r="C227" s="51">
        <f t="shared" si="14"/>
        <v>-0.39400000000000035</v>
      </c>
      <c r="D227" s="61">
        <f t="shared" si="12"/>
        <v>0.5889364870789677</v>
      </c>
      <c r="E227" s="62">
        <f t="shared" si="15"/>
        <v>0</v>
      </c>
    </row>
    <row r="228" spans="1:5" ht="12.75">
      <c r="A228" s="53">
        <v>21700</v>
      </c>
      <c r="B228" s="50">
        <f t="shared" si="13"/>
        <v>0.3510452644489914</v>
      </c>
      <c r="C228" s="51">
        <f t="shared" si="14"/>
        <v>-0.38249999999999995</v>
      </c>
      <c r="D228" s="61">
        <f t="shared" si="12"/>
        <v>0.1337084739996438</v>
      </c>
      <c r="E228" s="62">
        <f t="shared" si="15"/>
        <v>0</v>
      </c>
    </row>
    <row r="229" spans="1:5" ht="12.75">
      <c r="A229" s="53">
        <v>21800</v>
      </c>
      <c r="B229" s="50">
        <f t="shared" si="13"/>
        <v>0.355318765855119</v>
      </c>
      <c r="C229" s="51">
        <f t="shared" si="14"/>
        <v>-0.3710000000000001</v>
      </c>
      <c r="D229" s="61">
        <f t="shared" si="12"/>
        <v>2.0522596565715223</v>
      </c>
      <c r="E229" s="62">
        <f t="shared" si="15"/>
        <v>0</v>
      </c>
    </row>
    <row r="230" spans="1:5" ht="12.75">
      <c r="A230" s="53">
        <v>21900</v>
      </c>
      <c r="B230" s="50">
        <f t="shared" si="13"/>
        <v>0.3596105389038913</v>
      </c>
      <c r="C230" s="51">
        <f t="shared" si="14"/>
        <v>-0.3595000000000004</v>
      </c>
      <c r="D230" s="61">
        <f t="shared" si="12"/>
        <v>1.682110978223547</v>
      </c>
      <c r="E230" s="62">
        <f t="shared" si="15"/>
        <v>0</v>
      </c>
    </row>
    <row r="231" spans="1:5" ht="12.75">
      <c r="A231" s="53">
        <v>22000</v>
      </c>
      <c r="B231" s="50">
        <f t="shared" si="13"/>
        <v>0.36392009174717477</v>
      </c>
      <c r="C231" s="51">
        <f t="shared" si="14"/>
        <v>-0.3480000000000001</v>
      </c>
      <c r="D231" s="61">
        <f t="shared" si="12"/>
        <v>0.9720063550034495</v>
      </c>
      <c r="E231" s="62">
        <f t="shared" si="15"/>
        <v>0</v>
      </c>
    </row>
    <row r="232" spans="1:5" ht="12.75">
      <c r="A232" s="53">
        <v>22100</v>
      </c>
      <c r="B232" s="50">
        <f t="shared" si="13"/>
        <v>0.3682469257870926</v>
      </c>
      <c r="C232" s="51">
        <f t="shared" si="14"/>
        <v>-0.33650000000000024</v>
      </c>
      <c r="D232" s="61">
        <f t="shared" si="12"/>
        <v>1.971100282640612</v>
      </c>
      <c r="E232" s="62">
        <f t="shared" si="15"/>
        <v>0</v>
      </c>
    </row>
    <row r="233" spans="1:5" ht="12.75">
      <c r="A233" s="53">
        <v>22200</v>
      </c>
      <c r="B233" s="50">
        <f t="shared" si="13"/>
        <v>0.372590535846716</v>
      </c>
      <c r="C233" s="51">
        <f t="shared" si="14"/>
        <v>-0.3250000000000002</v>
      </c>
      <c r="D233" s="61">
        <f t="shared" si="12"/>
        <v>1.0288202341318882</v>
      </c>
      <c r="E233" s="62">
        <f t="shared" si="15"/>
        <v>0</v>
      </c>
    </row>
    <row r="234" spans="1:5" ht="12.75">
      <c r="A234" s="53">
        <v>22300</v>
      </c>
      <c r="B234" s="50">
        <f t="shared" si="13"/>
        <v>0.37695041034492516</v>
      </c>
      <c r="C234" s="51">
        <f t="shared" si="14"/>
        <v>-0.3135000000000001</v>
      </c>
      <c r="D234" s="61">
        <f t="shared" si="12"/>
        <v>-1.0211214702484277</v>
      </c>
      <c r="E234" s="62">
        <f t="shared" si="15"/>
        <v>1</v>
      </c>
    </row>
    <row r="235" spans="1:5" ht="12.75">
      <c r="A235" s="53">
        <v>22400</v>
      </c>
      <c r="B235" s="50">
        <f t="shared" si="13"/>
        <v>0.38132603147534394</v>
      </c>
      <c r="C235" s="51">
        <f t="shared" si="14"/>
        <v>-0.30200000000000016</v>
      </c>
      <c r="D235" s="61">
        <f t="shared" si="12"/>
        <v>0.3560409265214062</v>
      </c>
      <c r="E235" s="62">
        <f t="shared" si="15"/>
        <v>0</v>
      </c>
    </row>
    <row r="236" spans="1:5" ht="12.75">
      <c r="A236" s="53">
        <v>22500</v>
      </c>
      <c r="B236" s="50">
        <f t="shared" si="13"/>
        <v>0.3857168753892424</v>
      </c>
      <c r="C236" s="51">
        <f t="shared" si="14"/>
        <v>-0.2905000000000003</v>
      </c>
      <c r="D236" s="61">
        <f t="shared" si="12"/>
        <v>2.3194270101397514</v>
      </c>
      <c r="E236" s="62">
        <f t="shared" si="15"/>
        <v>0</v>
      </c>
    </row>
    <row r="237" spans="1:5" ht="12.75">
      <c r="A237" s="53">
        <v>22600</v>
      </c>
      <c r="B237" s="50">
        <f t="shared" si="13"/>
        <v>0.39012241238230216</v>
      </c>
      <c r="C237" s="51">
        <f t="shared" si="14"/>
        <v>-0.27900000000000025</v>
      </c>
      <c r="D237" s="61">
        <f t="shared" si="12"/>
        <v>2.241748271065604</v>
      </c>
      <c r="E237" s="62">
        <f t="shared" si="15"/>
        <v>0</v>
      </c>
    </row>
    <row r="238" spans="1:5" ht="12.75">
      <c r="A238" s="53">
        <v>22700</v>
      </c>
      <c r="B238" s="50">
        <f t="shared" si="13"/>
        <v>0.39454210708513393</v>
      </c>
      <c r="C238" s="51">
        <f t="shared" si="14"/>
        <v>-0.2675000000000002</v>
      </c>
      <c r="D238" s="61">
        <f t="shared" si="12"/>
        <v>1.410133070027109</v>
      </c>
      <c r="E238" s="62">
        <f t="shared" si="15"/>
        <v>0</v>
      </c>
    </row>
    <row r="239" spans="1:5" ht="12.75">
      <c r="A239" s="53">
        <v>22800</v>
      </c>
      <c r="B239" s="50">
        <f t="shared" si="13"/>
        <v>0.39897541865743413</v>
      </c>
      <c r="C239" s="51">
        <f t="shared" si="14"/>
        <v>-0.2560000000000002</v>
      </c>
      <c r="D239" s="61">
        <f t="shared" si="12"/>
        <v>1.01356877988017</v>
      </c>
      <c r="E239" s="62">
        <f t="shared" si="15"/>
        <v>0</v>
      </c>
    </row>
    <row r="240" spans="1:5" ht="12.75">
      <c r="A240" s="53">
        <v>22900</v>
      </c>
      <c r="B240" s="50">
        <f t="shared" si="13"/>
        <v>0.40342180098566405</v>
      </c>
      <c r="C240" s="51">
        <f t="shared" si="14"/>
        <v>-0.24450000000000005</v>
      </c>
      <c r="D240" s="61">
        <f t="shared" si="12"/>
        <v>0.9596310554682371</v>
      </c>
      <c r="E240" s="62">
        <f t="shared" si="15"/>
        <v>0</v>
      </c>
    </row>
    <row r="241" spans="1:5" ht="12.75">
      <c r="A241" s="53">
        <v>23000</v>
      </c>
      <c r="B241" s="50">
        <f t="shared" si="13"/>
        <v>0.4078807028841308</v>
      </c>
      <c r="C241" s="51">
        <f t="shared" si="14"/>
        <v>-0.23300000000000032</v>
      </c>
      <c r="D241" s="61">
        <f t="shared" si="12"/>
        <v>1.4715988204371697</v>
      </c>
      <c r="E241" s="62">
        <f t="shared" si="15"/>
        <v>0</v>
      </c>
    </row>
    <row r="242" spans="1:5" ht="12.75">
      <c r="A242" s="53">
        <v>23100</v>
      </c>
      <c r="B242" s="50">
        <f t="shared" si="13"/>
        <v>0.4123515682993496</v>
      </c>
      <c r="C242" s="51">
        <f t="shared" si="14"/>
        <v>-0.22150000000000036</v>
      </c>
      <c r="D242" s="61">
        <f t="shared" si="12"/>
        <v>2.2564310768082527</v>
      </c>
      <c r="E242" s="62">
        <f t="shared" si="15"/>
        <v>0</v>
      </c>
    </row>
    <row r="243" spans="1:5" ht="12.75">
      <c r="A243" s="53">
        <v>23200</v>
      </c>
      <c r="B243" s="50">
        <f t="shared" si="13"/>
        <v>0.4168338365175577</v>
      </c>
      <c r="C243" s="51">
        <f t="shared" si="14"/>
        <v>-0.2100000000000002</v>
      </c>
      <c r="D243" s="61">
        <f t="shared" si="12"/>
        <v>1.3431836731708622</v>
      </c>
      <c r="E243" s="62">
        <f t="shared" si="15"/>
        <v>0</v>
      </c>
    </row>
    <row r="244" spans="1:5" ht="12.75">
      <c r="A244" s="53">
        <v>23300</v>
      </c>
      <c r="B244" s="50">
        <f t="shared" si="13"/>
        <v>0.4213269423752545</v>
      </c>
      <c r="C244" s="51">
        <f t="shared" si="14"/>
        <v>-0.19850000000000018</v>
      </c>
      <c r="D244" s="61">
        <f t="shared" si="12"/>
        <v>1.3518146801192072</v>
      </c>
      <c r="E244" s="62">
        <f t="shared" si="15"/>
        <v>0</v>
      </c>
    </row>
    <row r="245" spans="1:5" ht="12.75">
      <c r="A245" s="53">
        <v>23400</v>
      </c>
      <c r="B245" s="50">
        <f t="shared" si="13"/>
        <v>0.4258303164726359</v>
      </c>
      <c r="C245" s="51">
        <f t="shared" si="14"/>
        <v>-0.18699999999999994</v>
      </c>
      <c r="D245" s="61">
        <f t="shared" si="12"/>
        <v>0.804389910928694</v>
      </c>
      <c r="E245" s="62">
        <f t="shared" si="15"/>
        <v>0</v>
      </c>
    </row>
    <row r="246" spans="1:5" ht="12.75">
      <c r="A246" s="53">
        <v>23500</v>
      </c>
      <c r="B246" s="50">
        <f t="shared" si="13"/>
        <v>0.43034338538978667</v>
      </c>
      <c r="C246" s="51">
        <f t="shared" si="14"/>
        <v>-0.1755000000000001</v>
      </c>
      <c r="D246" s="61">
        <f t="shared" si="12"/>
        <v>0.814736353500543</v>
      </c>
      <c r="E246" s="62">
        <f t="shared" si="15"/>
        <v>0</v>
      </c>
    </row>
    <row r="247" spans="1:5" ht="12.75">
      <c r="A247" s="53">
        <v>23600</v>
      </c>
      <c r="B247" s="50">
        <f t="shared" si="13"/>
        <v>0.434865571905497</v>
      </c>
      <c r="C247" s="51">
        <f t="shared" si="14"/>
        <v>-0.1640000000000003</v>
      </c>
      <c r="D247" s="61">
        <f t="shared" si="12"/>
        <v>1.965703599161703</v>
      </c>
      <c r="E247" s="62">
        <f t="shared" si="15"/>
        <v>0</v>
      </c>
    </row>
    <row r="248" spans="1:5" ht="12.75">
      <c r="A248" s="53">
        <v>23700</v>
      </c>
      <c r="B248" s="50">
        <f t="shared" si="13"/>
        <v>0.4393962952185624</v>
      </c>
      <c r="C248" s="51">
        <f t="shared" si="14"/>
        <v>-0.15250000000000008</v>
      </c>
      <c r="D248" s="61">
        <f t="shared" si="12"/>
        <v>1.2285082444155877</v>
      </c>
      <c r="E248" s="62">
        <f t="shared" si="15"/>
        <v>0</v>
      </c>
    </row>
    <row r="249" spans="1:5" ht="12.75">
      <c r="A249" s="53">
        <v>23800</v>
      </c>
      <c r="B249" s="50">
        <f t="shared" si="13"/>
        <v>0.44393497117142533</v>
      </c>
      <c r="C249" s="51">
        <f t="shared" si="14"/>
        <v>-0.1410000000000003</v>
      </c>
      <c r="D249" s="61">
        <f t="shared" si="12"/>
        <v>3.7284775039657405</v>
      </c>
      <c r="E249" s="62">
        <f t="shared" si="15"/>
        <v>0</v>
      </c>
    </row>
    <row r="250" spans="1:5" ht="12.75">
      <c r="A250" s="53">
        <v>23900</v>
      </c>
      <c r="B250" s="50">
        <f t="shared" si="13"/>
        <v>0.44848101247601824</v>
      </c>
      <c r="C250" s="51">
        <f t="shared" si="14"/>
        <v>-0.12950000000000034</v>
      </c>
      <c r="D250" s="61">
        <f t="shared" si="12"/>
        <v>0.6441560794492094</v>
      </c>
      <c r="E250" s="62">
        <f t="shared" si="15"/>
        <v>0</v>
      </c>
    </row>
    <row r="251" spans="1:5" ht="12.75">
      <c r="A251" s="53">
        <v>24000</v>
      </c>
      <c r="B251" s="50">
        <f t="shared" si="13"/>
        <v>0.4530338289416578</v>
      </c>
      <c r="C251" s="51">
        <f t="shared" si="14"/>
        <v>-0.11800000000000019</v>
      </c>
      <c r="D251" s="61">
        <f t="shared" si="12"/>
        <v>1.1201892756084693</v>
      </c>
      <c r="E251" s="62">
        <f t="shared" si="15"/>
        <v>0</v>
      </c>
    </row>
    <row r="252" spans="1:5" ht="12.75">
      <c r="A252" s="53">
        <v>24100</v>
      </c>
      <c r="B252" s="50">
        <f t="shared" si="13"/>
        <v>0.45759282770484677</v>
      </c>
      <c r="C252" s="51">
        <f t="shared" si="14"/>
        <v>-0.10650000000000023</v>
      </c>
      <c r="D252" s="61">
        <f t="shared" si="12"/>
        <v>1.9620621069631055</v>
      </c>
      <c r="E252" s="62">
        <f t="shared" si="15"/>
        <v>0</v>
      </c>
    </row>
    <row r="253" spans="1:5" ht="12.75">
      <c r="A253" s="53">
        <v>24200</v>
      </c>
      <c r="B253" s="50">
        <f t="shared" si="13"/>
        <v>0.4621574134608336</v>
      </c>
      <c r="C253" s="51">
        <f t="shared" si="14"/>
        <v>-0.0950000000000003</v>
      </c>
      <c r="D253" s="61">
        <f t="shared" si="12"/>
        <v>0.7028396724501123</v>
      </c>
      <c r="E253" s="62">
        <f t="shared" si="15"/>
        <v>0</v>
      </c>
    </row>
    <row r="254" spans="1:5" ht="12.75">
      <c r="A254" s="53">
        <v>24300</v>
      </c>
      <c r="B254" s="50">
        <f t="shared" si="13"/>
        <v>0.46672698869677753</v>
      </c>
      <c r="C254" s="51">
        <f t="shared" si="14"/>
        <v>-0.08350000000000016</v>
      </c>
      <c r="D254" s="61">
        <f t="shared" si="12"/>
        <v>0.49736805963091557</v>
      </c>
      <c r="E254" s="62">
        <f t="shared" si="15"/>
        <v>0</v>
      </c>
    </row>
    <row r="255" spans="1:5" ht="12.75">
      <c r="A255" s="53">
        <v>24400</v>
      </c>
      <c r="B255" s="50">
        <f t="shared" si="13"/>
        <v>0.4713009539263684</v>
      </c>
      <c r="C255" s="51">
        <f t="shared" si="14"/>
        <v>-0.07200000000000009</v>
      </c>
      <c r="D255" s="61">
        <f t="shared" si="12"/>
        <v>0.015436278503991775</v>
      </c>
      <c r="E255" s="62">
        <f t="shared" si="15"/>
        <v>0</v>
      </c>
    </row>
    <row r="256" spans="1:5" ht="12.75">
      <c r="A256" s="53">
        <v>24500</v>
      </c>
      <c r="B256" s="50">
        <f t="shared" si="13"/>
        <v>0.4758787079257478</v>
      </c>
      <c r="C256" s="51">
        <f t="shared" si="14"/>
        <v>-0.06050000000000029</v>
      </c>
      <c r="D256" s="61">
        <f t="shared" si="12"/>
        <v>1.6899002371831124</v>
      </c>
      <c r="E256" s="62">
        <f t="shared" si="15"/>
        <v>0</v>
      </c>
    </row>
    <row r="257" spans="1:5" ht="12.75">
      <c r="A257" s="53">
        <v>24600</v>
      </c>
      <c r="B257" s="50">
        <f t="shared" si="13"/>
        <v>0.4804596479705764</v>
      </c>
      <c r="C257" s="51">
        <f t="shared" si="14"/>
        <v>-0.04900000000000011</v>
      </c>
      <c r="D257" s="61">
        <f t="shared" si="12"/>
        <v>0.8836891303493808</v>
      </c>
      <c r="E257" s="62">
        <f t="shared" si="15"/>
        <v>0</v>
      </c>
    </row>
    <row r="258" spans="1:5" ht="12.75">
      <c r="A258" s="53">
        <v>24700</v>
      </c>
      <c r="B258" s="50">
        <f t="shared" si="13"/>
        <v>0.48504317007409015</v>
      </c>
      <c r="C258" s="51">
        <f t="shared" si="14"/>
        <v>-0.037500000000000325</v>
      </c>
      <c r="D258" s="61">
        <f t="shared" si="12"/>
        <v>1.4870542914826423</v>
      </c>
      <c r="E258" s="62">
        <f t="shared" si="15"/>
        <v>0</v>
      </c>
    </row>
    <row r="259" spans="1:5" ht="12.75">
      <c r="A259" s="53">
        <v>24800</v>
      </c>
      <c r="B259" s="50">
        <f t="shared" si="13"/>
        <v>0.4896286692259927</v>
      </c>
      <c r="C259" s="51">
        <f t="shared" si="14"/>
        <v>-0.02600000000000033</v>
      </c>
      <c r="D259" s="61">
        <f t="shared" si="12"/>
        <v>-0.25699764236315736</v>
      </c>
      <c r="E259" s="62">
        <f t="shared" si="15"/>
        <v>1</v>
      </c>
    </row>
    <row r="260" spans="1:5" ht="12.75">
      <c r="A260" s="53">
        <v>24900</v>
      </c>
      <c r="B260" s="50">
        <f t="shared" si="13"/>
        <v>0.4942155396320216</v>
      </c>
      <c r="C260" s="51">
        <f t="shared" si="14"/>
        <v>-0.014500000000000013</v>
      </c>
      <c r="D260" s="61">
        <f t="shared" si="12"/>
        <v>-0.8786006727288802</v>
      </c>
      <c r="E260" s="62">
        <f t="shared" si="15"/>
        <v>1</v>
      </c>
    </row>
    <row r="261" spans="1:5" ht="12.75">
      <c r="A261" s="53">
        <v>25000</v>
      </c>
      <c r="B261" s="50">
        <f t="shared" si="13"/>
        <v>0.4988031749540335</v>
      </c>
      <c r="C261" s="51">
        <f t="shared" si="14"/>
        <v>-0.0030000000000002915</v>
      </c>
      <c r="D261" s="61">
        <f t="shared" si="12"/>
        <v>3.357814480378974</v>
      </c>
      <c r="E261" s="62">
        <f t="shared" si="15"/>
        <v>0</v>
      </c>
    </row>
    <row r="262" spans="1:5" ht="12.75">
      <c r="A262" s="53">
        <v>25100</v>
      </c>
      <c r="B262" s="50">
        <f t="shared" si="13"/>
        <v>0.5033909685504501</v>
      </c>
      <c r="C262" s="51">
        <f t="shared" si="14"/>
        <v>0.008499999999999914</v>
      </c>
      <c r="D262" s="61">
        <f t="shared" si="12"/>
        <v>2.2032015517627705</v>
      </c>
      <c r="E262" s="62">
        <f t="shared" si="15"/>
        <v>0</v>
      </c>
    </row>
    <row r="263" spans="1:5" ht="12.75">
      <c r="A263" s="53">
        <v>25200</v>
      </c>
      <c r="B263" s="50">
        <f t="shared" si="13"/>
        <v>0.5079783137169019</v>
      </c>
      <c r="C263" s="51">
        <f t="shared" si="14"/>
        <v>0.01999999999999976</v>
      </c>
      <c r="D263" s="61">
        <f t="shared" si="12"/>
        <v>1.3187900260384855</v>
      </c>
      <c r="E263" s="62">
        <f t="shared" si="15"/>
        <v>0</v>
      </c>
    </row>
    <row r="264" spans="1:5" ht="12.75">
      <c r="A264" s="53">
        <v>25300</v>
      </c>
      <c r="B264" s="50">
        <f t="shared" si="13"/>
        <v>0.5125646039269168</v>
      </c>
      <c r="C264" s="51">
        <f t="shared" si="14"/>
        <v>0.03149999999999982</v>
      </c>
      <c r="D264" s="61">
        <f t="shared" si="12"/>
        <v>0.27446976766428843</v>
      </c>
      <c r="E264" s="62">
        <f t="shared" si="15"/>
        <v>0</v>
      </c>
    </row>
    <row r="265" spans="1:5" ht="12.75">
      <c r="A265" s="53">
        <v>25400</v>
      </c>
      <c r="B265" s="50">
        <f t="shared" si="13"/>
        <v>0.5171492330724881</v>
      </c>
      <c r="C265" s="51">
        <f t="shared" si="14"/>
        <v>0.04299999999999993</v>
      </c>
      <c r="D265" s="61">
        <f t="shared" si="12"/>
        <v>-1.78303393176294</v>
      </c>
      <c r="E265" s="62">
        <f t="shared" si="15"/>
        <v>1</v>
      </c>
    </row>
    <row r="266" spans="1:5" ht="12.75">
      <c r="A266" s="53">
        <v>25500</v>
      </c>
      <c r="B266" s="50">
        <f t="shared" si="13"/>
        <v>0.5217315957043674</v>
      </c>
      <c r="C266" s="51">
        <f t="shared" si="14"/>
        <v>0.054499999999999826</v>
      </c>
      <c r="D266" s="61">
        <f t="shared" si="12"/>
        <v>2.7690133556236782</v>
      </c>
      <c r="E266" s="62">
        <f t="shared" si="15"/>
        <v>0</v>
      </c>
    </row>
    <row r="267" spans="1:5" ht="12.75">
      <c r="A267" s="53">
        <v>25600</v>
      </c>
      <c r="B267" s="50">
        <f t="shared" si="13"/>
        <v>0.5263110872719228</v>
      </c>
      <c r="C267" s="51">
        <f t="shared" si="14"/>
        <v>0.06599999999999964</v>
      </c>
      <c r="D267" s="61">
        <f aca="true" t="shared" si="16" ref="D267:D330">NORMALRANDOM(0,1)</f>
        <v>1.513217233698853</v>
      </c>
      <c r="E267" s="62">
        <f t="shared" si="15"/>
        <v>0</v>
      </c>
    </row>
    <row r="268" spans="1:5" ht="12.75">
      <c r="A268" s="53">
        <v>25700</v>
      </c>
      <c r="B268" s="50">
        <f aca="true" t="shared" si="17" ref="B268:B331">NORMDIST(intercept+slope*A268,0,1,1)</f>
        <v>0.5308871043624013</v>
      </c>
      <c r="C268" s="51">
        <f aca="true" t="shared" si="18" ref="C268:C331">NORMINV(B268,0,1)</f>
        <v>0.07750000000000001</v>
      </c>
      <c r="D268" s="61">
        <f t="shared" si="16"/>
        <v>1.4257605733152894</v>
      </c>
      <c r="E268" s="62">
        <f aca="true" t="shared" si="19" ref="E268:E331">IF(D268&lt;C268,1,0)</f>
        <v>0</v>
      </c>
    </row>
    <row r="269" spans="1:5" ht="12.75">
      <c r="A269" s="53">
        <v>25800</v>
      </c>
      <c r="B269" s="50">
        <f t="shared" si="17"/>
        <v>0.5354590449394406</v>
      </c>
      <c r="C269" s="51">
        <f t="shared" si="18"/>
        <v>0.08899999999999972</v>
      </c>
      <c r="D269" s="61">
        <f t="shared" si="16"/>
        <v>0.7667560837779965</v>
      </c>
      <c r="E269" s="62">
        <f t="shared" si="19"/>
        <v>0</v>
      </c>
    </row>
    <row r="270" spans="1:5" ht="12.75">
      <c r="A270" s="53">
        <v>25900</v>
      </c>
      <c r="B270" s="50">
        <f t="shared" si="17"/>
        <v>0.5400263085806737</v>
      </c>
      <c r="C270" s="51">
        <f t="shared" si="18"/>
        <v>0.10049999999999956</v>
      </c>
      <c r="D270" s="61">
        <f t="shared" si="16"/>
        <v>-0.6739184909876534</v>
      </c>
      <c r="E270" s="62">
        <f t="shared" si="19"/>
        <v>1</v>
      </c>
    </row>
    <row r="271" spans="1:5" ht="12.75">
      <c r="A271" s="53">
        <v>26000</v>
      </c>
      <c r="B271" s="50">
        <f t="shared" si="17"/>
        <v>0.5445882967142657</v>
      </c>
      <c r="C271" s="51">
        <f t="shared" si="18"/>
        <v>0.1119999999999999</v>
      </c>
      <c r="D271" s="61">
        <f t="shared" si="16"/>
        <v>0.9581956714935975</v>
      </c>
      <c r="E271" s="62">
        <f t="shared" si="19"/>
        <v>0</v>
      </c>
    </row>
    <row r="272" spans="1:5" ht="12.75">
      <c r="A272" s="53">
        <v>26100</v>
      </c>
      <c r="B272" s="50">
        <f t="shared" si="17"/>
        <v>0.5491444128542318</v>
      </c>
      <c r="C272" s="51">
        <f t="shared" si="18"/>
        <v>0.12349999999999986</v>
      </c>
      <c r="D272" s="61">
        <f t="shared" si="16"/>
        <v>2.9065847036181776</v>
      </c>
      <c r="E272" s="62">
        <f t="shared" si="19"/>
        <v>0</v>
      </c>
    </row>
    <row r="273" spans="1:5" ht="12.75">
      <c r="A273" s="53">
        <v>26200</v>
      </c>
      <c r="B273" s="50">
        <f t="shared" si="17"/>
        <v>0.5536940628343816</v>
      </c>
      <c r="C273" s="51">
        <f t="shared" si="18"/>
        <v>0.13499999999999962</v>
      </c>
      <c r="D273" s="61">
        <f t="shared" si="16"/>
        <v>0.1210694202822902</v>
      </c>
      <c r="E273" s="62">
        <f t="shared" si="19"/>
        <v>1</v>
      </c>
    </row>
    <row r="274" spans="1:5" ht="12.75">
      <c r="A274" s="53">
        <v>26300</v>
      </c>
      <c r="B274" s="50">
        <f t="shared" si="17"/>
        <v>0.5582366550407349</v>
      </c>
      <c r="C274" s="51">
        <f t="shared" si="18"/>
        <v>0.1464999999999998</v>
      </c>
      <c r="D274" s="61">
        <f t="shared" si="16"/>
        <v>0.46206215917308957</v>
      </c>
      <c r="E274" s="62">
        <f t="shared" si="19"/>
        <v>0</v>
      </c>
    </row>
    <row r="275" spans="1:5" ht="12.75">
      <c r="A275" s="53">
        <v>26400</v>
      </c>
      <c r="B275" s="50">
        <f t="shared" si="17"/>
        <v>0.5627716006422585</v>
      </c>
      <c r="C275" s="51">
        <f t="shared" si="18"/>
        <v>0.15799999999999986</v>
      </c>
      <c r="D275" s="61">
        <f t="shared" si="16"/>
        <v>-0.6074646121212707</v>
      </c>
      <c r="E275" s="62">
        <f t="shared" si="19"/>
        <v>1</v>
      </c>
    </row>
    <row r="276" spans="1:5" ht="12.75">
      <c r="A276" s="53">
        <v>26500</v>
      </c>
      <c r="B276" s="50">
        <f t="shared" si="17"/>
        <v>0.5672983138197749</v>
      </c>
      <c r="C276" s="51">
        <f t="shared" si="18"/>
        <v>0.16949999999999976</v>
      </c>
      <c r="D276" s="61">
        <f t="shared" si="16"/>
        <v>1.7295768219676066</v>
      </c>
      <c r="E276" s="62">
        <f t="shared" si="19"/>
        <v>0</v>
      </c>
    </row>
    <row r="277" spans="1:5" ht="12.75">
      <c r="A277" s="53">
        <v>26600</v>
      </c>
      <c r="B277" s="50">
        <f t="shared" si="17"/>
        <v>0.5718162119928942</v>
      </c>
      <c r="C277" s="51">
        <f t="shared" si="18"/>
        <v>0.181</v>
      </c>
      <c r="D277" s="61">
        <f t="shared" si="16"/>
        <v>1.2659178854338542</v>
      </c>
      <c r="E277" s="62">
        <f t="shared" si="19"/>
        <v>0</v>
      </c>
    </row>
    <row r="278" spans="1:5" ht="12.75">
      <c r="A278" s="53">
        <v>26700</v>
      </c>
      <c r="B278" s="50">
        <f t="shared" si="17"/>
        <v>0.576324716044821</v>
      </c>
      <c r="C278" s="51">
        <f t="shared" si="18"/>
        <v>0.19249999999999962</v>
      </c>
      <c r="D278" s="61">
        <f t="shared" si="16"/>
        <v>-0.9873310191476201</v>
      </c>
      <c r="E278" s="62">
        <f t="shared" si="19"/>
        <v>1</v>
      </c>
    </row>
    <row r="279" spans="1:5" ht="12.75">
      <c r="A279" s="53">
        <v>26800</v>
      </c>
      <c r="B279" s="50">
        <f t="shared" si="17"/>
        <v>0.5808232505448959</v>
      </c>
      <c r="C279" s="51">
        <f t="shared" si="18"/>
        <v>0.20400000000000013</v>
      </c>
      <c r="D279" s="61">
        <f t="shared" si="16"/>
        <v>-0.4481875894298674</v>
      </c>
      <c r="E279" s="62">
        <f t="shared" si="19"/>
        <v>1</v>
      </c>
    </row>
    <row r="280" spans="1:5" ht="12.75">
      <c r="A280" s="53">
        <v>26900</v>
      </c>
      <c r="B280" s="50">
        <f t="shared" si="17"/>
        <v>0.5853112439687225</v>
      </c>
      <c r="C280" s="51">
        <f t="shared" si="18"/>
        <v>0.21549999999999986</v>
      </c>
      <c r="D280" s="61">
        <f t="shared" si="16"/>
        <v>0.7268880609637957</v>
      </c>
      <c r="E280" s="62">
        <f t="shared" si="19"/>
        <v>0</v>
      </c>
    </row>
    <row r="281" spans="1:5" ht="12.75">
      <c r="A281" s="53">
        <v>27000</v>
      </c>
      <c r="B281" s="50">
        <f t="shared" si="17"/>
        <v>0.5897881289157486</v>
      </c>
      <c r="C281" s="51">
        <f t="shared" si="18"/>
        <v>0.2269999999999997</v>
      </c>
      <c r="D281" s="61">
        <f t="shared" si="16"/>
        <v>1.5031574284433593</v>
      </c>
      <c r="E281" s="62">
        <f t="shared" si="19"/>
        <v>0</v>
      </c>
    </row>
    <row r="282" spans="1:5" ht="12.75">
      <c r="A282" s="53">
        <v>27100</v>
      </c>
      <c r="B282" s="50">
        <f t="shared" si="17"/>
        <v>0.5942533423241555</v>
      </c>
      <c r="C282" s="51">
        <f t="shared" si="18"/>
        <v>0.23849999999999993</v>
      </c>
      <c r="D282" s="61">
        <f t="shared" si="16"/>
        <v>1.6701648597642684</v>
      </c>
      <c r="E282" s="62">
        <f t="shared" si="19"/>
        <v>0</v>
      </c>
    </row>
    <row r="283" spans="1:5" ht="12.75">
      <c r="A283" s="53">
        <v>27200</v>
      </c>
      <c r="B283" s="50">
        <f t="shared" si="17"/>
        <v>0.5987063256829237</v>
      </c>
      <c r="C283" s="51">
        <f t="shared" si="18"/>
        <v>0.24999999999999983</v>
      </c>
      <c r="D283" s="61">
        <f t="shared" si="16"/>
        <v>-0.508254037537629</v>
      </c>
      <c r="E283" s="62">
        <f t="shared" si="19"/>
        <v>1</v>
      </c>
    </row>
    <row r="284" spans="1:5" ht="12.75">
      <c r="A284" s="53">
        <v>27300</v>
      </c>
      <c r="B284" s="50">
        <f t="shared" si="17"/>
        <v>0.6031465252409435</v>
      </c>
      <c r="C284" s="51">
        <f t="shared" si="18"/>
        <v>0.26149999999999973</v>
      </c>
      <c r="D284" s="61">
        <f t="shared" si="16"/>
        <v>1.7004297378279227</v>
      </c>
      <c r="E284" s="62">
        <f t="shared" si="19"/>
        <v>0</v>
      </c>
    </row>
    <row r="285" spans="1:5" ht="12.75">
      <c r="A285" s="53">
        <v>27400</v>
      </c>
      <c r="B285" s="50">
        <f t="shared" si="17"/>
        <v>0.607573392213037</v>
      </c>
      <c r="C285" s="51">
        <f t="shared" si="18"/>
        <v>0.27300000000000013</v>
      </c>
      <c r="D285" s="61">
        <f t="shared" si="16"/>
        <v>0.7065769716743275</v>
      </c>
      <c r="E285" s="62">
        <f t="shared" si="19"/>
        <v>0</v>
      </c>
    </row>
    <row r="286" spans="1:5" ht="12.75">
      <c r="A286" s="53">
        <v>27500</v>
      </c>
      <c r="B286" s="50">
        <f t="shared" si="17"/>
        <v>0.6119863829827656</v>
      </c>
      <c r="C286" s="51">
        <f t="shared" si="18"/>
        <v>0.28449999999999964</v>
      </c>
      <c r="D286" s="61">
        <f t="shared" si="16"/>
        <v>2.683784733882945</v>
      </c>
      <c r="E286" s="62">
        <f t="shared" si="19"/>
        <v>0</v>
      </c>
    </row>
    <row r="287" spans="1:5" ht="12.75">
      <c r="A287" s="53">
        <v>27600</v>
      </c>
      <c r="B287" s="50">
        <f t="shared" si="17"/>
        <v>0.6163849593019012</v>
      </c>
      <c r="C287" s="51">
        <f t="shared" si="18"/>
        <v>0.2959999999999997</v>
      </c>
      <c r="D287" s="61">
        <f t="shared" si="16"/>
        <v>0.3629467374278402</v>
      </c>
      <c r="E287" s="62">
        <f t="shared" si="19"/>
        <v>0</v>
      </c>
    </row>
    <row r="288" spans="1:5" ht="12.75">
      <c r="A288" s="53">
        <v>27700</v>
      </c>
      <c r="B288" s="50">
        <f t="shared" si="17"/>
        <v>0.6207685884864333</v>
      </c>
      <c r="C288" s="51">
        <f t="shared" si="18"/>
        <v>0.3074999999999999</v>
      </c>
      <c r="D288" s="61">
        <f t="shared" si="16"/>
        <v>-1.0061713624360373</v>
      </c>
      <c r="E288" s="62">
        <f t="shared" si="19"/>
        <v>1</v>
      </c>
    </row>
    <row r="289" spans="1:5" ht="12.75">
      <c r="A289" s="53">
        <v>27800</v>
      </c>
      <c r="B289" s="50">
        <f t="shared" si="17"/>
        <v>0.6251367436090007</v>
      </c>
      <c r="C289" s="51">
        <f t="shared" si="18"/>
        <v>0.31899999999999995</v>
      </c>
      <c r="D289" s="61">
        <f t="shared" si="16"/>
        <v>3.7103374278688888</v>
      </c>
      <c r="E289" s="62">
        <f t="shared" si="19"/>
        <v>0</v>
      </c>
    </row>
    <row r="290" spans="1:5" ht="12.75">
      <c r="A290" s="53">
        <v>27900</v>
      </c>
      <c r="B290" s="50">
        <f t="shared" si="17"/>
        <v>0.6294889036876282</v>
      </c>
      <c r="C290" s="51">
        <f t="shared" si="18"/>
        <v>0.3304999999999997</v>
      </c>
      <c r="D290" s="61">
        <f t="shared" si="16"/>
        <v>-1.3954285234311152</v>
      </c>
      <c r="E290" s="62">
        <f t="shared" si="19"/>
        <v>1</v>
      </c>
    </row>
    <row r="291" spans="1:5" ht="12.75">
      <c r="A291" s="53">
        <v>28000</v>
      </c>
      <c r="B291" s="50">
        <f t="shared" si="17"/>
        <v>0.6338245538706584</v>
      </c>
      <c r="C291" s="51">
        <f t="shared" si="18"/>
        <v>0.34199999999999997</v>
      </c>
      <c r="D291" s="61">
        <f t="shared" si="16"/>
        <v>2.2581861697590715</v>
      </c>
      <c r="E291" s="62">
        <f t="shared" si="19"/>
        <v>0</v>
      </c>
    </row>
    <row r="292" spans="1:5" ht="12.75">
      <c r="A292" s="53">
        <v>28100</v>
      </c>
      <c r="B292" s="50">
        <f t="shared" si="17"/>
        <v>0.6381431856177684</v>
      </c>
      <c r="C292" s="51">
        <f t="shared" si="18"/>
        <v>0.3534999999999996</v>
      </c>
      <c r="D292" s="61">
        <f t="shared" si="16"/>
        <v>2.2367089575505394</v>
      </c>
      <c r="E292" s="62">
        <f t="shared" si="19"/>
        <v>0</v>
      </c>
    </row>
    <row r="293" spans="1:5" ht="12.75">
      <c r="A293" s="53">
        <v>28200</v>
      </c>
      <c r="B293" s="50">
        <f t="shared" si="17"/>
        <v>0.6424442968769707</v>
      </c>
      <c r="C293" s="51">
        <f t="shared" si="18"/>
        <v>0.36499999999999966</v>
      </c>
      <c r="D293" s="61">
        <f t="shared" si="16"/>
        <v>0.0844735329903354</v>
      </c>
      <c r="E293" s="62">
        <f t="shared" si="19"/>
        <v>1</v>
      </c>
    </row>
    <row r="294" spans="1:5" ht="12.75">
      <c r="A294" s="53">
        <v>28300</v>
      </c>
      <c r="B294" s="50">
        <f t="shared" si="17"/>
        <v>0.6467273922574908</v>
      </c>
      <c r="C294" s="51">
        <f t="shared" si="18"/>
        <v>0.37649999999999995</v>
      </c>
      <c r="D294" s="61">
        <f t="shared" si="16"/>
        <v>0.17761106598309162</v>
      </c>
      <c r="E294" s="62">
        <f t="shared" si="19"/>
        <v>1</v>
      </c>
    </row>
    <row r="295" spans="1:5" ht="12.75">
      <c r="A295" s="53">
        <v>28400</v>
      </c>
      <c r="B295" s="50">
        <f t="shared" si="17"/>
        <v>0.6509919831984289</v>
      </c>
      <c r="C295" s="51">
        <f t="shared" si="18"/>
        <v>0.3879999999999998</v>
      </c>
      <c r="D295" s="61">
        <f t="shared" si="16"/>
        <v>0.9643649370959367</v>
      </c>
      <c r="E295" s="62">
        <f t="shared" si="19"/>
        <v>0</v>
      </c>
    </row>
    <row r="296" spans="1:5" ht="12.75">
      <c r="A296" s="53">
        <v>28500</v>
      </c>
      <c r="B296" s="50">
        <f t="shared" si="17"/>
        <v>0.6552375881331114</v>
      </c>
      <c r="C296" s="51">
        <f t="shared" si="18"/>
        <v>0.3995000000000001</v>
      </c>
      <c r="D296" s="61">
        <f t="shared" si="16"/>
        <v>-0.12130309422235874</v>
      </c>
      <c r="E296" s="62">
        <f t="shared" si="19"/>
        <v>1</v>
      </c>
    </row>
    <row r="297" spans="1:5" ht="12.75">
      <c r="A297" s="53">
        <v>28600</v>
      </c>
      <c r="B297" s="50">
        <f t="shared" si="17"/>
        <v>0.6594637326490373</v>
      </c>
      <c r="C297" s="51">
        <f t="shared" si="18"/>
        <v>0.4109999999999998</v>
      </c>
      <c r="D297" s="61">
        <f t="shared" si="16"/>
        <v>3.8022647053024676</v>
      </c>
      <c r="E297" s="62">
        <f t="shared" si="19"/>
        <v>0</v>
      </c>
    </row>
    <row r="298" spans="1:5" ht="12.75">
      <c r="A298" s="53">
        <v>28700</v>
      </c>
      <c r="B298" s="50">
        <f t="shared" si="17"/>
        <v>0.6636699496433414</v>
      </c>
      <c r="C298" s="51">
        <f t="shared" si="18"/>
        <v>0.42249999999999976</v>
      </c>
      <c r="D298" s="61">
        <f t="shared" si="16"/>
        <v>1.6229469489583948</v>
      </c>
      <c r="E298" s="62">
        <f t="shared" si="19"/>
        <v>0</v>
      </c>
    </row>
    <row r="299" spans="1:5" ht="12.75">
      <c r="A299" s="53">
        <v>28800</v>
      </c>
      <c r="B299" s="50">
        <f t="shared" si="17"/>
        <v>0.6678557794736826</v>
      </c>
      <c r="C299" s="51">
        <f t="shared" si="18"/>
        <v>0.43399999999999983</v>
      </c>
      <c r="D299" s="61">
        <f t="shared" si="16"/>
        <v>0.8104289774058347</v>
      </c>
      <c r="E299" s="62">
        <f t="shared" si="19"/>
        <v>0</v>
      </c>
    </row>
    <row r="300" spans="1:5" ht="12.75">
      <c r="A300" s="53">
        <v>28900</v>
      </c>
      <c r="B300" s="50">
        <f t="shared" si="17"/>
        <v>0.6720207701044881</v>
      </c>
      <c r="C300" s="51">
        <f t="shared" si="18"/>
        <v>0.4455</v>
      </c>
      <c r="D300" s="61">
        <f t="shared" si="16"/>
        <v>1.2366350009492069</v>
      </c>
      <c r="E300" s="62">
        <f t="shared" si="19"/>
        <v>0</v>
      </c>
    </row>
    <row r="301" spans="1:5" ht="12.75">
      <c r="A301" s="53">
        <v>29000</v>
      </c>
      <c r="B301" s="50">
        <f t="shared" si="17"/>
        <v>0.6761644772484725</v>
      </c>
      <c r="C301" s="51">
        <f t="shared" si="18"/>
        <v>0.45699999999999974</v>
      </c>
      <c r="D301" s="61">
        <f t="shared" si="16"/>
        <v>0.4167993764006613</v>
      </c>
      <c r="E301" s="62">
        <f t="shared" si="19"/>
        <v>1</v>
      </c>
    </row>
    <row r="302" spans="1:5" ht="12.75">
      <c r="A302" s="53">
        <v>29100</v>
      </c>
      <c r="B302" s="50">
        <f t="shared" si="17"/>
        <v>0.680286464503365</v>
      </c>
      <c r="C302" s="51">
        <f t="shared" si="18"/>
        <v>0.46850000000000014</v>
      </c>
      <c r="D302" s="61">
        <f t="shared" si="16"/>
        <v>2.7562921113806036</v>
      </c>
      <c r="E302" s="62">
        <f t="shared" si="19"/>
        <v>0</v>
      </c>
    </row>
    <row r="303" spans="1:5" ht="12.75">
      <c r="A303" s="53">
        <v>29200</v>
      </c>
      <c r="B303" s="50">
        <f t="shared" si="17"/>
        <v>0.6843863034837774</v>
      </c>
      <c r="C303" s="51">
        <f t="shared" si="18"/>
        <v>0.47999999999999987</v>
      </c>
      <c r="D303" s="61">
        <f t="shared" si="16"/>
        <v>1.9088134488519635</v>
      </c>
      <c r="E303" s="62">
        <f t="shared" si="19"/>
        <v>0</v>
      </c>
    </row>
    <row r="304" spans="1:5" ht="12.75">
      <c r="A304" s="53">
        <v>29300</v>
      </c>
      <c r="B304" s="50">
        <f t="shared" si="17"/>
        <v>0.6884635739481528</v>
      </c>
      <c r="C304" s="51">
        <f t="shared" si="18"/>
        <v>0.4914999999999995</v>
      </c>
      <c r="D304" s="61">
        <f t="shared" si="16"/>
        <v>1.5776605316437493</v>
      </c>
      <c r="E304" s="62">
        <f t="shared" si="19"/>
        <v>0</v>
      </c>
    </row>
    <row r="305" spans="1:5" ht="12.75">
      <c r="A305" s="53">
        <v>29400</v>
      </c>
      <c r="B305" s="50">
        <f t="shared" si="17"/>
        <v>0.6925178639207352</v>
      </c>
      <c r="C305" s="51">
        <f t="shared" si="18"/>
        <v>0.5029999999999999</v>
      </c>
      <c r="D305" s="61">
        <f t="shared" si="16"/>
        <v>0.285047778898147</v>
      </c>
      <c r="E305" s="62">
        <f t="shared" si="19"/>
        <v>1</v>
      </c>
    </row>
    <row r="306" spans="1:5" ht="12.75">
      <c r="A306" s="53">
        <v>29500</v>
      </c>
      <c r="B306" s="50">
        <f t="shared" si="17"/>
        <v>0.6965487698085067</v>
      </c>
      <c r="C306" s="51">
        <f t="shared" si="18"/>
        <v>0.5144999999999995</v>
      </c>
      <c r="D306" s="61">
        <f t="shared" si="16"/>
        <v>0.8979788248933491</v>
      </c>
      <c r="E306" s="62">
        <f t="shared" si="19"/>
        <v>0</v>
      </c>
    </row>
    <row r="307" spans="1:5" ht="12.75">
      <c r="A307" s="53">
        <v>29600</v>
      </c>
      <c r="B307" s="50">
        <f t="shared" si="17"/>
        <v>0.7005558965130467</v>
      </c>
      <c r="C307" s="51">
        <f t="shared" si="18"/>
        <v>0.5259999999999994</v>
      </c>
      <c r="D307" s="61">
        <f t="shared" si="16"/>
        <v>-0.2207479202931317</v>
      </c>
      <c r="E307" s="62">
        <f t="shared" si="19"/>
        <v>1</v>
      </c>
    </row>
    <row r="308" spans="1:5" ht="12.75">
      <c r="A308" s="53">
        <v>29700</v>
      </c>
      <c r="B308" s="50">
        <f t="shared" si="17"/>
        <v>0.704538857537264</v>
      </c>
      <c r="C308" s="51">
        <f t="shared" si="18"/>
        <v>0.5374999999999999</v>
      </c>
      <c r="D308" s="61">
        <f t="shared" si="16"/>
        <v>2.1729542898580836</v>
      </c>
      <c r="E308" s="62">
        <f t="shared" si="19"/>
        <v>0</v>
      </c>
    </row>
    <row r="309" spans="1:5" ht="12.75">
      <c r="A309" s="53">
        <v>29800</v>
      </c>
      <c r="B309" s="50">
        <f t="shared" si="17"/>
        <v>0.7084972750869625</v>
      </c>
      <c r="C309" s="51">
        <f t="shared" si="18"/>
        <v>0.5489999999999995</v>
      </c>
      <c r="D309" s="61">
        <f t="shared" si="16"/>
        <v>3.384585154461861</v>
      </c>
      <c r="E309" s="62">
        <f t="shared" si="19"/>
        <v>0</v>
      </c>
    </row>
    <row r="310" spans="1:5" ht="12.75">
      <c r="A310" s="53">
        <v>29900</v>
      </c>
      <c r="B310" s="50">
        <f t="shared" si="17"/>
        <v>0.7124307801672072</v>
      </c>
      <c r="C310" s="51">
        <f t="shared" si="18"/>
        <v>0.5604999999999993</v>
      </c>
      <c r="D310" s="61">
        <f t="shared" si="16"/>
        <v>1.3845445663379259</v>
      </c>
      <c r="E310" s="62">
        <f t="shared" si="19"/>
        <v>0</v>
      </c>
    </row>
    <row r="311" spans="1:5" ht="12.75">
      <c r="A311" s="53">
        <v>30000</v>
      </c>
      <c r="B311" s="50">
        <f t="shared" si="17"/>
        <v>0.7163390126734549</v>
      </c>
      <c r="C311" s="51">
        <f t="shared" si="18"/>
        <v>0.5719999999999998</v>
      </c>
      <c r="D311" s="61">
        <f t="shared" si="16"/>
        <v>1.584946872033815</v>
      </c>
      <c r="E311" s="62">
        <f t="shared" si="19"/>
        <v>0</v>
      </c>
    </row>
    <row r="312" spans="1:5" ht="12.75">
      <c r="A312" s="53">
        <v>30100</v>
      </c>
      <c r="B312" s="50">
        <f t="shared" si="17"/>
        <v>0.7202216214774233</v>
      </c>
      <c r="C312" s="51">
        <f t="shared" si="18"/>
        <v>0.5834999999999999</v>
      </c>
      <c r="D312" s="61">
        <f t="shared" si="16"/>
        <v>1.8070574196933642</v>
      </c>
      <c r="E312" s="62">
        <f t="shared" si="19"/>
        <v>0</v>
      </c>
    </row>
    <row r="313" spans="1:5" ht="12.75">
      <c r="A313" s="53">
        <v>30200</v>
      </c>
      <c r="B313" s="50">
        <f t="shared" si="17"/>
        <v>0.7240782645076775</v>
      </c>
      <c r="C313" s="51">
        <f t="shared" si="18"/>
        <v>0.595</v>
      </c>
      <c r="D313" s="61">
        <f t="shared" si="16"/>
        <v>0.11702048063628231</v>
      </c>
      <c r="E313" s="62">
        <f t="shared" si="19"/>
        <v>1</v>
      </c>
    </row>
    <row r="314" spans="1:5" ht="12.75">
      <c r="A314" s="53">
        <v>30300</v>
      </c>
      <c r="B314" s="50">
        <f t="shared" si="17"/>
        <v>0.7279086088249117</v>
      </c>
      <c r="C314" s="51">
        <f t="shared" si="18"/>
        <v>0.6065</v>
      </c>
      <c r="D314" s="61">
        <f t="shared" si="16"/>
        <v>1.3895585495520302</v>
      </c>
      <c r="E314" s="62">
        <f t="shared" si="19"/>
        <v>0</v>
      </c>
    </row>
    <row r="315" spans="1:5" ht="12.75">
      <c r="A315" s="53">
        <v>30400</v>
      </c>
      <c r="B315" s="50">
        <f t="shared" si="17"/>
        <v>0.7317123306919141</v>
      </c>
      <c r="C315" s="51">
        <f t="shared" si="18"/>
        <v>0.6179999999999999</v>
      </c>
      <c r="D315" s="61">
        <f t="shared" si="16"/>
        <v>1.115020622243352</v>
      </c>
      <c r="E315" s="62">
        <f t="shared" si="19"/>
        <v>0</v>
      </c>
    </row>
    <row r="316" spans="1:5" ht="12.75">
      <c r="A316" s="53">
        <v>30500</v>
      </c>
      <c r="B316" s="50">
        <f t="shared" si="17"/>
        <v>0.735489115638204</v>
      </c>
      <c r="C316" s="51">
        <f t="shared" si="18"/>
        <v>0.6295</v>
      </c>
      <c r="D316" s="61">
        <f t="shared" si="16"/>
        <v>2.26646968074674</v>
      </c>
      <c r="E316" s="62">
        <f t="shared" si="19"/>
        <v>0</v>
      </c>
    </row>
    <row r="317" spans="1:5" ht="12.75">
      <c r="A317" s="53">
        <v>30600</v>
      </c>
      <c r="B317" s="50">
        <f t="shared" si="17"/>
        <v>0.7392386585193343</v>
      </c>
      <c r="C317" s="51">
        <f t="shared" si="18"/>
        <v>0.641</v>
      </c>
      <c r="D317" s="61">
        <f t="shared" si="16"/>
        <v>1.7811925895215512</v>
      </c>
      <c r="E317" s="62">
        <f t="shared" si="19"/>
        <v>0</v>
      </c>
    </row>
    <row r="318" spans="1:5" ht="12.75">
      <c r="A318" s="53">
        <v>30700</v>
      </c>
      <c r="B318" s="50">
        <f t="shared" si="17"/>
        <v>0.7429606635708602</v>
      </c>
      <c r="C318" s="51">
        <f t="shared" si="18"/>
        <v>0.6524999999999999</v>
      </c>
      <c r="D318" s="61">
        <f t="shared" si="16"/>
        <v>2.2245618503688633</v>
      </c>
      <c r="E318" s="62">
        <f t="shared" si="19"/>
        <v>0</v>
      </c>
    </row>
    <row r="319" spans="1:5" ht="12.75">
      <c r="A319" s="53">
        <v>30800</v>
      </c>
      <c r="B319" s="50">
        <f t="shared" si="17"/>
        <v>0.7466548444569733</v>
      </c>
      <c r="C319" s="51">
        <f t="shared" si="18"/>
        <v>0.6640000000000001</v>
      </c>
      <c r="D319" s="61">
        <f t="shared" si="16"/>
        <v>0.8020282550723515</v>
      </c>
      <c r="E319" s="62">
        <f t="shared" si="19"/>
        <v>0</v>
      </c>
    </row>
    <row r="320" spans="1:5" ht="12.75">
      <c r="A320" s="53">
        <v>30900</v>
      </c>
      <c r="B320" s="50">
        <f t="shared" si="17"/>
        <v>0.7503209243138106</v>
      </c>
      <c r="C320" s="51">
        <f t="shared" si="18"/>
        <v>0.6755</v>
      </c>
      <c r="D320" s="61">
        <f t="shared" si="16"/>
        <v>0.8834264535467429</v>
      </c>
      <c r="E320" s="62">
        <f t="shared" si="19"/>
        <v>0</v>
      </c>
    </row>
    <row r="321" spans="1:5" ht="12.75">
      <c r="A321" s="53">
        <v>31000</v>
      </c>
      <c r="B321" s="50">
        <f t="shared" si="17"/>
        <v>0.7539586357874487</v>
      </c>
      <c r="C321" s="51">
        <f t="shared" si="18"/>
        <v>0.6869999999999996</v>
      </c>
      <c r="D321" s="61">
        <f t="shared" si="16"/>
        <v>0.974547088616913</v>
      </c>
      <c r="E321" s="62">
        <f t="shared" si="19"/>
        <v>0</v>
      </c>
    </row>
    <row r="322" spans="1:5" ht="12.75">
      <c r="A322" s="53">
        <v>31100</v>
      </c>
      <c r="B322" s="50">
        <f t="shared" si="17"/>
        <v>0.7575677210665979</v>
      </c>
      <c r="C322" s="51">
        <f t="shared" si="18"/>
        <v>0.6984999999999997</v>
      </c>
      <c r="D322" s="61">
        <f t="shared" si="16"/>
        <v>0.1585111398050949</v>
      </c>
      <c r="E322" s="62">
        <f t="shared" si="19"/>
        <v>1</v>
      </c>
    </row>
    <row r="323" spans="1:5" ht="12.75">
      <c r="A323" s="53">
        <v>31200</v>
      </c>
      <c r="B323" s="50">
        <f t="shared" si="17"/>
        <v>0.7611479319100133</v>
      </c>
      <c r="C323" s="51">
        <f t="shared" si="18"/>
        <v>0.71</v>
      </c>
      <c r="D323" s="61">
        <f t="shared" si="16"/>
        <v>2.469430631033378</v>
      </c>
      <c r="E323" s="62">
        <f t="shared" si="19"/>
        <v>0</v>
      </c>
    </row>
    <row r="324" spans="1:5" ht="12.75">
      <c r="A324" s="53">
        <v>31300</v>
      </c>
      <c r="B324" s="50">
        <f t="shared" si="17"/>
        <v>0.7646990296686518</v>
      </c>
      <c r="C324" s="51">
        <f t="shared" si="18"/>
        <v>0.7214999999999998</v>
      </c>
      <c r="D324" s="61">
        <f t="shared" si="16"/>
        <v>-0.26615390013487494</v>
      </c>
      <c r="E324" s="62">
        <f t="shared" si="19"/>
        <v>1</v>
      </c>
    </row>
    <row r="325" spans="1:5" ht="12.75">
      <c r="A325" s="53">
        <v>31400</v>
      </c>
      <c r="B325" s="50">
        <f t="shared" si="17"/>
        <v>0.7682207853025955</v>
      </c>
      <c r="C325" s="51">
        <f t="shared" si="18"/>
        <v>0.7330000000000001</v>
      </c>
      <c r="D325" s="61">
        <f t="shared" si="16"/>
        <v>1.1147251812984322</v>
      </c>
      <c r="E325" s="62">
        <f t="shared" si="19"/>
        <v>0</v>
      </c>
    </row>
    <row r="326" spans="1:5" ht="12.75">
      <c r="A326" s="53">
        <v>31500</v>
      </c>
      <c r="B326" s="50">
        <f t="shared" si="17"/>
        <v>0.7717129793927768</v>
      </c>
      <c r="C326" s="51">
        <f t="shared" si="18"/>
        <v>0.7444999999999997</v>
      </c>
      <c r="D326" s="61">
        <f t="shared" si="16"/>
        <v>0.44393947844230497</v>
      </c>
      <c r="E326" s="62">
        <f t="shared" si="19"/>
        <v>1</v>
      </c>
    </row>
    <row r="327" spans="1:5" ht="12.75">
      <c r="A327" s="53">
        <v>31600</v>
      </c>
      <c r="B327" s="50">
        <f t="shared" si="17"/>
        <v>0.7751754021475386</v>
      </c>
      <c r="C327" s="51">
        <f t="shared" si="18"/>
        <v>0.7559999999999996</v>
      </c>
      <c r="D327" s="61">
        <f t="shared" si="16"/>
        <v>0.6512564728089186</v>
      </c>
      <c r="E327" s="62">
        <f t="shared" si="19"/>
        <v>1</v>
      </c>
    </row>
    <row r="328" spans="1:5" ht="12.75">
      <c r="A328" s="53">
        <v>31700</v>
      </c>
      <c r="B328" s="50">
        <f t="shared" si="17"/>
        <v>0.7786078534040681</v>
      </c>
      <c r="C328" s="51">
        <f t="shared" si="18"/>
        <v>0.7674999999999994</v>
      </c>
      <c r="D328" s="61">
        <f t="shared" si="16"/>
        <v>1.162506006832214</v>
      </c>
      <c r="E328" s="62">
        <f t="shared" si="19"/>
        <v>0</v>
      </c>
    </row>
    <row r="329" spans="1:5" ht="12.75">
      <c r="A329" s="53">
        <v>31800</v>
      </c>
      <c r="B329" s="50">
        <f t="shared" si="17"/>
        <v>0.7820101426247481</v>
      </c>
      <c r="C329" s="51">
        <f t="shared" si="18"/>
        <v>0.7789999999999997</v>
      </c>
      <c r="D329" s="61">
        <f t="shared" si="16"/>
        <v>1.651801730918561</v>
      </c>
      <c r="E329" s="62">
        <f t="shared" si="19"/>
        <v>0</v>
      </c>
    </row>
    <row r="330" spans="1:5" ht="12.75">
      <c r="A330" s="53">
        <v>31900</v>
      </c>
      <c r="B330" s="50">
        <f t="shared" si="17"/>
        <v>0.7853820888884688</v>
      </c>
      <c r="C330" s="51">
        <f t="shared" si="18"/>
        <v>0.7904999999999998</v>
      </c>
      <c r="D330" s="61">
        <f t="shared" si="16"/>
        <v>0.7679504204518274</v>
      </c>
      <c r="E330" s="62">
        <f t="shared" si="19"/>
        <v>1</v>
      </c>
    </row>
    <row r="331" spans="1:5" ht="12.75">
      <c r="A331" s="53">
        <v>32000</v>
      </c>
      <c r="B331" s="50">
        <f t="shared" si="17"/>
        <v>0.7887235208769545</v>
      </c>
      <c r="C331" s="51">
        <f t="shared" si="18"/>
        <v>0.8019999999999998</v>
      </c>
      <c r="D331" s="61">
        <f aca="true" t="shared" si="20" ref="D331:D394">NORMALRANDOM(0,1)</f>
        <v>2.122354163264243</v>
      </c>
      <c r="E331" s="62">
        <f t="shared" si="19"/>
        <v>0</v>
      </c>
    </row>
    <row r="332" spans="1:5" ht="12.75">
      <c r="A332" s="53">
        <v>32100</v>
      </c>
      <c r="B332" s="50">
        <f aca="true" t="shared" si="21" ref="B332:B395">NORMDIST(intercept+slope*A332,0,1,1)</f>
        <v>0.7920342768561526</v>
      </c>
      <c r="C332" s="51">
        <f aca="true" t="shared" si="22" ref="C332:C395">NORMINV(B332,0,1)</f>
        <v>0.8134999999999992</v>
      </c>
      <c r="D332" s="61">
        <f t="shared" si="20"/>
        <v>-1.296236155937923</v>
      </c>
      <c r="E332" s="62">
        <f aca="true" t="shared" si="23" ref="E332:E395">IF(D332&lt;C332,1,0)</f>
        <v>1</v>
      </c>
    </row>
    <row r="333" spans="1:5" ht="12.75">
      <c r="A333" s="53">
        <v>32200</v>
      </c>
      <c r="B333" s="50">
        <f t="shared" si="21"/>
        <v>0.7953142046527474</v>
      </c>
      <c r="C333" s="51">
        <f t="shared" si="22"/>
        <v>0.825</v>
      </c>
      <c r="D333" s="61">
        <f t="shared" si="20"/>
        <v>1.437322508897524</v>
      </c>
      <c r="E333" s="62">
        <f t="shared" si="23"/>
        <v>0</v>
      </c>
    </row>
    <row r="334" spans="1:5" ht="12.75">
      <c r="A334" s="53">
        <v>32300</v>
      </c>
      <c r="B334" s="50">
        <f t="shared" si="21"/>
        <v>0.7985631616258528</v>
      </c>
      <c r="C334" s="51">
        <f t="shared" si="22"/>
        <v>0.8365</v>
      </c>
      <c r="D334" s="61">
        <f t="shared" si="20"/>
        <v>0.515900471594499</v>
      </c>
      <c r="E334" s="62">
        <f t="shared" si="23"/>
        <v>1</v>
      </c>
    </row>
    <row r="335" spans="1:5" ht="12.75">
      <c r="A335" s="53">
        <v>32400</v>
      </c>
      <c r="B335" s="50">
        <f t="shared" si="21"/>
        <v>0.8017810146339523</v>
      </c>
      <c r="C335" s="51">
        <f t="shared" si="22"/>
        <v>0.8479999999999996</v>
      </c>
      <c r="D335" s="61">
        <f t="shared" si="20"/>
        <v>0.5125641668141867</v>
      </c>
      <c r="E335" s="62">
        <f t="shared" si="23"/>
        <v>1</v>
      </c>
    </row>
    <row r="336" spans="1:5" ht="12.75">
      <c r="A336" s="53">
        <v>32500</v>
      </c>
      <c r="B336" s="50">
        <f t="shared" si="21"/>
        <v>0.8049676399971499</v>
      </c>
      <c r="C336" s="51">
        <f t="shared" si="22"/>
        <v>0.8594999999999997</v>
      </c>
      <c r="D336" s="61">
        <f t="shared" si="20"/>
        <v>0.7847750440527627</v>
      </c>
      <c r="E336" s="62">
        <f t="shared" si="23"/>
        <v>1</v>
      </c>
    </row>
    <row r="337" spans="1:5" ht="12.75">
      <c r="A337" s="53">
        <v>32600</v>
      </c>
      <c r="B337" s="50">
        <f t="shared" si="21"/>
        <v>0.8081229234547999</v>
      </c>
      <c r="C337" s="51">
        <f t="shared" si="22"/>
        <v>0.8709999999999998</v>
      </c>
      <c r="D337" s="61">
        <f t="shared" si="20"/>
        <v>-0.7512106316172783</v>
      </c>
      <c r="E337" s="62">
        <f t="shared" si="23"/>
        <v>1</v>
      </c>
    </row>
    <row r="338" spans="1:5" ht="12.75">
      <c r="A338" s="53">
        <v>32700</v>
      </c>
      <c r="B338" s="50">
        <f t="shared" si="21"/>
        <v>0.8112467601185918</v>
      </c>
      <c r="C338" s="51">
        <f t="shared" si="22"/>
        <v>0.8824999999999994</v>
      </c>
      <c r="D338" s="61">
        <f t="shared" si="20"/>
        <v>1.5004349471853753</v>
      </c>
      <c r="E338" s="62">
        <f t="shared" si="23"/>
        <v>0</v>
      </c>
    </row>
    <row r="339" spans="1:5" ht="12.75">
      <c r="A339" s="53">
        <v>32800</v>
      </c>
      <c r="B339" s="50">
        <f t="shared" si="21"/>
        <v>0.8143390544211639</v>
      </c>
      <c r="C339" s="51">
        <f t="shared" si="22"/>
        <v>0.8939999999999999</v>
      </c>
      <c r="D339" s="61">
        <f t="shared" si="20"/>
        <v>0.39331374845264955</v>
      </c>
      <c r="E339" s="62">
        <f t="shared" si="23"/>
        <v>1</v>
      </c>
    </row>
    <row r="340" spans="1:5" ht="12.75">
      <c r="A340" s="53">
        <v>32900</v>
      </c>
      <c r="B340" s="50">
        <f t="shared" si="21"/>
        <v>0.8173997200603209</v>
      </c>
      <c r="C340" s="51">
        <f t="shared" si="22"/>
        <v>0.9054999999999997</v>
      </c>
      <c r="D340" s="61">
        <f t="shared" si="20"/>
        <v>0.13508600259299242</v>
      </c>
      <c r="E340" s="62">
        <f t="shared" si="23"/>
        <v>1</v>
      </c>
    </row>
    <row r="341" spans="1:5" ht="12.75">
      <c r="A341" s="53">
        <v>33000</v>
      </c>
      <c r="B341" s="50">
        <f t="shared" si="21"/>
        <v>0.8204286799389414</v>
      </c>
      <c r="C341" s="51">
        <f t="shared" si="22"/>
        <v>0.9169999999999998</v>
      </c>
      <c r="D341" s="61">
        <f t="shared" si="20"/>
        <v>1.990138049818431</v>
      </c>
      <c r="E341" s="62">
        <f t="shared" si="23"/>
        <v>0</v>
      </c>
    </row>
    <row r="342" spans="1:5" ht="12.75">
      <c r="A342" s="53">
        <v>33100</v>
      </c>
      <c r="B342" s="50">
        <f t="shared" si="21"/>
        <v>0.823425866100655</v>
      </c>
      <c r="C342" s="51">
        <f t="shared" si="22"/>
        <v>0.9284999999999994</v>
      </c>
      <c r="D342" s="61">
        <f t="shared" si="20"/>
        <v>0.7353103909032297</v>
      </c>
      <c r="E342" s="62">
        <f t="shared" si="23"/>
        <v>1</v>
      </c>
    </row>
    <row r="343" spans="1:5" ht="12.75">
      <c r="A343" s="53">
        <v>33200</v>
      </c>
      <c r="B343" s="50">
        <f t="shared" si="21"/>
        <v>0.8263912196613753</v>
      </c>
      <c r="C343" s="51">
        <f t="shared" si="22"/>
        <v>0.94</v>
      </c>
      <c r="D343" s="61">
        <f t="shared" si="20"/>
        <v>0.2701188252715137</v>
      </c>
      <c r="E343" s="62">
        <f t="shared" si="23"/>
        <v>1</v>
      </c>
    </row>
    <row r="344" spans="1:5" ht="12.75">
      <c r="A344" s="53">
        <v>33300</v>
      </c>
      <c r="B344" s="50">
        <f t="shared" si="21"/>
        <v>0.8293246907367784</v>
      </c>
      <c r="C344" s="51">
        <f t="shared" si="22"/>
        <v>0.9514999999999989</v>
      </c>
      <c r="D344" s="61">
        <f t="shared" si="20"/>
        <v>1.6214665297116249</v>
      </c>
      <c r="E344" s="62">
        <f t="shared" si="23"/>
        <v>0</v>
      </c>
    </row>
    <row r="345" spans="1:5" ht="12.75">
      <c r="A345" s="53">
        <v>33400</v>
      </c>
      <c r="B345" s="50">
        <f t="shared" si="21"/>
        <v>0.8322262383658166</v>
      </c>
      <c r="C345" s="51">
        <f t="shared" si="22"/>
        <v>0.9629999999999996</v>
      </c>
      <c r="D345" s="61">
        <f t="shared" si="20"/>
        <v>1.0638117521822232</v>
      </c>
      <c r="E345" s="62">
        <f t="shared" si="23"/>
        <v>0</v>
      </c>
    </row>
    <row r="346" spans="1:5" ht="12.75">
      <c r="A346" s="53">
        <v>33500</v>
      </c>
      <c r="B346" s="50">
        <f t="shared" si="21"/>
        <v>0.8350958304303586</v>
      </c>
      <c r="C346" s="51">
        <f t="shared" si="22"/>
        <v>0.9744999999999997</v>
      </c>
      <c r="D346" s="61">
        <f t="shared" si="20"/>
        <v>-0.36710241153610634</v>
      </c>
      <c r="E346" s="62">
        <f t="shared" si="23"/>
        <v>1</v>
      </c>
    </row>
    <row r="347" spans="1:5" ht="12.75">
      <c r="A347" s="53">
        <v>33600</v>
      </c>
      <c r="B347" s="50">
        <f t="shared" si="21"/>
        <v>0.8379334435710548</v>
      </c>
      <c r="C347" s="51">
        <f t="shared" si="22"/>
        <v>0.9860000000000002</v>
      </c>
      <c r="D347" s="61">
        <f t="shared" si="20"/>
        <v>1.320150267125798</v>
      </c>
      <c r="E347" s="62">
        <f t="shared" si="23"/>
        <v>0</v>
      </c>
    </row>
    <row r="348" spans="1:5" ht="12.75">
      <c r="A348" s="53">
        <v>33700</v>
      </c>
      <c r="B348" s="50">
        <f t="shared" si="21"/>
        <v>0.8407390630995191</v>
      </c>
      <c r="C348" s="51">
        <f t="shared" si="22"/>
        <v>0.9974999999999996</v>
      </c>
      <c r="D348" s="61">
        <f t="shared" si="20"/>
        <v>-0.3384472762848665</v>
      </c>
      <c r="E348" s="62">
        <f t="shared" si="23"/>
        <v>1</v>
      </c>
    </row>
    <row r="349" spans="1:5" ht="12.75">
      <c r="A349" s="53">
        <v>33800</v>
      </c>
      <c r="B349" s="50">
        <f t="shared" si="21"/>
        <v>0.8435126829069304</v>
      </c>
      <c r="C349" s="51">
        <f t="shared" si="22"/>
        <v>1.0089999999999995</v>
      </c>
      <c r="D349" s="61">
        <f t="shared" si="20"/>
        <v>0.4367339142841338</v>
      </c>
      <c r="E349" s="62">
        <f t="shared" si="23"/>
        <v>1</v>
      </c>
    </row>
    <row r="350" spans="1:5" ht="12.75">
      <c r="A350" s="53">
        <v>33900</v>
      </c>
      <c r="B350" s="50">
        <f t="shared" si="21"/>
        <v>0.8462543053691518</v>
      </c>
      <c r="C350" s="51">
        <f t="shared" si="22"/>
        <v>1.0204999999999997</v>
      </c>
      <c r="D350" s="61">
        <f t="shared" si="20"/>
        <v>0.030787273474726762</v>
      </c>
      <c r="E350" s="62">
        <f t="shared" si="23"/>
        <v>1</v>
      </c>
    </row>
    <row r="351" spans="1:5" ht="12.75">
      <c r="A351" s="53">
        <v>34000</v>
      </c>
      <c r="B351" s="50">
        <f t="shared" si="21"/>
        <v>0.8489639412484677</v>
      </c>
      <c r="C351" s="51">
        <f t="shared" si="22"/>
        <v>1.0319999999999991</v>
      </c>
      <c r="D351" s="61">
        <f t="shared" si="20"/>
        <v>3.296928406873912</v>
      </c>
      <c r="E351" s="62">
        <f t="shared" si="23"/>
        <v>0</v>
      </c>
    </row>
    <row r="352" spans="1:5" ht="12.75">
      <c r="A352" s="53">
        <v>34100</v>
      </c>
      <c r="B352" s="50">
        <f t="shared" si="21"/>
        <v>0.851641609592048</v>
      </c>
      <c r="C352" s="51">
        <f t="shared" si="22"/>
        <v>1.0434999999999999</v>
      </c>
      <c r="D352" s="61">
        <f t="shared" si="20"/>
        <v>1.5271282662587762</v>
      </c>
      <c r="E352" s="62">
        <f t="shared" si="23"/>
        <v>0</v>
      </c>
    </row>
    <row r="353" spans="1:5" ht="12.75">
      <c r="A353" s="53">
        <v>34200</v>
      </c>
      <c r="B353" s="50">
        <f t="shared" si="21"/>
        <v>0.8542873376272359</v>
      </c>
      <c r="C353" s="51">
        <f t="shared" si="22"/>
        <v>1.0550000000000002</v>
      </c>
      <c r="D353" s="61">
        <f t="shared" si="20"/>
        <v>1.0498388230568676</v>
      </c>
      <c r="E353" s="62">
        <f t="shared" si="23"/>
        <v>1</v>
      </c>
    </row>
    <row r="354" spans="1:5" ht="12.75">
      <c r="A354" s="53">
        <v>34300</v>
      </c>
      <c r="B354" s="50">
        <f t="shared" si="21"/>
        <v>0.8569011606537731</v>
      </c>
      <c r="C354" s="51">
        <f t="shared" si="22"/>
        <v>1.0664999999999996</v>
      </c>
      <c r="D354" s="61">
        <f t="shared" si="20"/>
        <v>0.7662664184168544</v>
      </c>
      <c r="E354" s="62">
        <f t="shared" si="23"/>
        <v>1</v>
      </c>
    </row>
    <row r="355" spans="1:5" ht="12.75">
      <c r="A355" s="53">
        <v>34400</v>
      </c>
      <c r="B355" s="50">
        <f t="shared" si="21"/>
        <v>0.8594831219330648</v>
      </c>
      <c r="C355" s="51">
        <f t="shared" si="22"/>
        <v>1.0779999999999994</v>
      </c>
      <c r="D355" s="61">
        <f t="shared" si="20"/>
        <v>2.8912105879050793</v>
      </c>
      <c r="E355" s="62">
        <f t="shared" si="23"/>
        <v>0</v>
      </c>
    </row>
    <row r="356" spans="1:5" ht="12.75">
      <c r="A356" s="53">
        <v>34500</v>
      </c>
      <c r="B356" s="50">
        <f t="shared" si="21"/>
        <v>0.8620332725745941</v>
      </c>
      <c r="C356" s="51">
        <f t="shared" si="22"/>
        <v>1.0894999999999997</v>
      </c>
      <c r="D356" s="61">
        <f t="shared" si="20"/>
        <v>1.695629457792828</v>
      </c>
      <c r="E356" s="62">
        <f t="shared" si="23"/>
        <v>0</v>
      </c>
    </row>
    <row r="357" spans="1:5" ht="12.75">
      <c r="A357" s="53">
        <v>34600</v>
      </c>
      <c r="B357" s="50">
        <f t="shared" si="21"/>
        <v>0.8645516714195951</v>
      </c>
      <c r="C357" s="51">
        <f t="shared" si="22"/>
        <v>1.1009999999999995</v>
      </c>
      <c r="D357" s="61">
        <f t="shared" si="20"/>
        <v>1.3230726830809463</v>
      </c>
      <c r="E357" s="62">
        <f t="shared" si="23"/>
        <v>0</v>
      </c>
    </row>
    <row r="358" spans="1:5" ht="12.75">
      <c r="A358" s="53">
        <v>34700</v>
      </c>
      <c r="B358" s="50">
        <f t="shared" si="21"/>
        <v>0.8670383849220962</v>
      </c>
      <c r="C358" s="51">
        <f t="shared" si="22"/>
        <v>1.1124999999999998</v>
      </c>
      <c r="D358" s="61">
        <f t="shared" si="20"/>
        <v>1.5581931403419134</v>
      </c>
      <c r="E358" s="62">
        <f t="shared" si="23"/>
        <v>0</v>
      </c>
    </row>
    <row r="359" spans="1:5" ht="12.75">
      <c r="A359" s="53">
        <v>34800</v>
      </c>
      <c r="B359" s="50">
        <f t="shared" si="21"/>
        <v>0.8694934870274393</v>
      </c>
      <c r="C359" s="51">
        <f t="shared" si="22"/>
        <v>1.1239999999999997</v>
      </c>
      <c r="D359" s="61">
        <f t="shared" si="20"/>
        <v>2.118416017065512</v>
      </c>
      <c r="E359" s="62">
        <f t="shared" si="23"/>
        <v>0</v>
      </c>
    </row>
    <row r="360" spans="1:5" ht="12.75">
      <c r="A360" s="53">
        <v>34900</v>
      </c>
      <c r="B360" s="50">
        <f t="shared" si="21"/>
        <v>0.8719170590483956</v>
      </c>
      <c r="C360" s="51">
        <f t="shared" si="22"/>
        <v>1.1355</v>
      </c>
      <c r="D360" s="61">
        <f t="shared" si="20"/>
        <v>-1.3243184533172565</v>
      </c>
      <c r="E360" s="62">
        <f t="shared" si="23"/>
        <v>1</v>
      </c>
    </row>
    <row r="361" spans="1:5" ht="12.75">
      <c r="A361" s="53">
        <v>35000</v>
      </c>
      <c r="B361" s="50">
        <f t="shared" si="21"/>
        <v>0.8743091895389763</v>
      </c>
      <c r="C361" s="51">
        <f t="shared" si="22"/>
        <v>1.1469999999999998</v>
      </c>
      <c r="D361" s="61">
        <f t="shared" si="20"/>
        <v>0.8406851170044982</v>
      </c>
      <c r="E361" s="62">
        <f t="shared" si="23"/>
        <v>1</v>
      </c>
    </row>
    <row r="362" spans="1:5" ht="12.75">
      <c r="A362" s="53">
        <v>35100</v>
      </c>
      <c r="B362" s="50">
        <f t="shared" si="21"/>
        <v>0.8766699741660668</v>
      </c>
      <c r="C362" s="51">
        <f t="shared" si="22"/>
        <v>1.1584999999999996</v>
      </c>
      <c r="D362" s="61">
        <f t="shared" si="20"/>
        <v>0.3039503418694397</v>
      </c>
      <c r="E362" s="62">
        <f t="shared" si="23"/>
        <v>1</v>
      </c>
    </row>
    <row r="363" spans="1:5" ht="12.75">
      <c r="A363" s="53">
        <v>35200</v>
      </c>
      <c r="B363" s="50">
        <f t="shared" si="21"/>
        <v>0.8789995155789817</v>
      </c>
      <c r="C363" s="51">
        <f t="shared" si="22"/>
        <v>1.1699999999999995</v>
      </c>
      <c r="D363" s="61">
        <f t="shared" si="20"/>
        <v>0.7739682855408261</v>
      </c>
      <c r="E363" s="62">
        <f t="shared" si="23"/>
        <v>1</v>
      </c>
    </row>
    <row r="364" spans="1:5" ht="12.75">
      <c r="A364" s="53">
        <v>35300</v>
      </c>
      <c r="B364" s="50">
        <f t="shared" si="21"/>
        <v>0.8812979232770628</v>
      </c>
      <c r="C364" s="51">
        <f t="shared" si="22"/>
        <v>1.1814999999999993</v>
      </c>
      <c r="D364" s="61">
        <f t="shared" si="20"/>
        <v>-0.6024835785452096</v>
      </c>
      <c r="E364" s="62">
        <f t="shared" si="23"/>
        <v>1</v>
      </c>
    </row>
    <row r="365" spans="1:5" ht="12.75">
      <c r="A365" s="53">
        <v>35400</v>
      </c>
      <c r="B365" s="50">
        <f t="shared" si="21"/>
        <v>0.8835653134754298</v>
      </c>
      <c r="C365" s="51">
        <f t="shared" si="22"/>
        <v>1.1929999999999992</v>
      </c>
      <c r="D365" s="61">
        <f t="shared" si="20"/>
        <v>1.366732107217881</v>
      </c>
      <c r="E365" s="62">
        <f t="shared" si="23"/>
        <v>0</v>
      </c>
    </row>
    <row r="366" spans="1:5" ht="12.75">
      <c r="A366" s="53">
        <v>35500</v>
      </c>
      <c r="B366" s="50">
        <f t="shared" si="21"/>
        <v>0.8858018089689967</v>
      </c>
      <c r="C366" s="51">
        <f t="shared" si="22"/>
        <v>1.2045</v>
      </c>
      <c r="D366" s="61">
        <f t="shared" si="20"/>
        <v>2.6353806182649073</v>
      </c>
      <c r="E366" s="62">
        <f t="shared" si="23"/>
        <v>0</v>
      </c>
    </row>
    <row r="367" spans="1:5" ht="12.75">
      <c r="A367" s="53">
        <v>35600</v>
      </c>
      <c r="B367" s="50">
        <f t="shared" si="21"/>
        <v>0.8880075389948663</v>
      </c>
      <c r="C367" s="51">
        <f t="shared" si="22"/>
        <v>1.2159999999999997</v>
      </c>
      <c r="D367" s="61">
        <f t="shared" si="20"/>
        <v>0.28378102241031417</v>
      </c>
      <c r="E367" s="62">
        <f t="shared" si="23"/>
        <v>1</v>
      </c>
    </row>
    <row r="368" spans="1:5" ht="12.75">
      <c r="A368" s="53">
        <v>35700</v>
      </c>
      <c r="B368" s="50">
        <f t="shared" si="21"/>
        <v>0.8901826390932146</v>
      </c>
      <c r="C368" s="51">
        <f t="shared" si="22"/>
        <v>1.2275</v>
      </c>
      <c r="D368" s="61">
        <f t="shared" si="20"/>
        <v>-0.04916097722783541</v>
      </c>
      <c r="E368" s="62">
        <f t="shared" si="23"/>
        <v>1</v>
      </c>
    </row>
    <row r="369" spans="1:5" ht="12.75">
      <c r="A369" s="53">
        <v>35800</v>
      </c>
      <c r="B369" s="50">
        <f t="shared" si="21"/>
        <v>0.8923272509667792</v>
      </c>
      <c r="C369" s="51">
        <f t="shared" si="22"/>
        <v>1.2389999999999999</v>
      </c>
      <c r="D369" s="61">
        <f t="shared" si="20"/>
        <v>0.4211461252261488</v>
      </c>
      <c r="E369" s="62">
        <f t="shared" si="23"/>
        <v>1</v>
      </c>
    </row>
    <row r="370" spans="1:5" ht="12.75">
      <c r="A370" s="53">
        <v>35900</v>
      </c>
      <c r="B370" s="50">
        <f t="shared" si="21"/>
        <v>0.8944415223390607</v>
      </c>
      <c r="C370" s="51">
        <f t="shared" si="22"/>
        <v>1.2504999999999993</v>
      </c>
      <c r="D370" s="61">
        <f t="shared" si="20"/>
        <v>1.3736232122868424</v>
      </c>
      <c r="E370" s="62">
        <f t="shared" si="23"/>
        <v>0</v>
      </c>
    </row>
    <row r="371" spans="1:5" ht="12.75">
      <c r="A371" s="53">
        <v>36000</v>
      </c>
      <c r="B371" s="50">
        <f t="shared" si="21"/>
        <v>0.8965256068113512</v>
      </c>
      <c r="C371" s="51">
        <f t="shared" si="22"/>
        <v>1.2620000000000005</v>
      </c>
      <c r="D371" s="61">
        <f t="shared" si="20"/>
        <v>1.2715435235086896</v>
      </c>
      <c r="E371" s="62">
        <f t="shared" si="23"/>
        <v>0</v>
      </c>
    </row>
    <row r="372" spans="1:5" ht="12.75">
      <c r="A372" s="53">
        <v>36100</v>
      </c>
      <c r="B372" s="50">
        <f t="shared" si="21"/>
        <v>0.8985796637186938</v>
      </c>
      <c r="C372" s="51">
        <f t="shared" si="22"/>
        <v>1.2734999999999999</v>
      </c>
      <c r="D372" s="61">
        <f t="shared" si="20"/>
        <v>-0.6034877393865925</v>
      </c>
      <c r="E372" s="62">
        <f t="shared" si="23"/>
        <v>1</v>
      </c>
    </row>
    <row r="373" spans="1:5" ht="12.75">
      <c r="A373" s="53">
        <v>36200</v>
      </c>
      <c r="B373" s="50">
        <f t="shared" si="21"/>
        <v>0.9006038579848943</v>
      </c>
      <c r="C373" s="51">
        <f t="shared" si="22"/>
        <v>1.2849999999999984</v>
      </c>
      <c r="D373" s="61">
        <f t="shared" si="20"/>
        <v>2.7714068624754873</v>
      </c>
      <c r="E373" s="62">
        <f t="shared" si="23"/>
        <v>0</v>
      </c>
    </row>
    <row r="374" spans="1:5" ht="12.75">
      <c r="A374" s="53">
        <v>36300</v>
      </c>
      <c r="B374" s="50">
        <f t="shared" si="21"/>
        <v>0.9025983599766818</v>
      </c>
      <c r="C374" s="51">
        <f t="shared" si="22"/>
        <v>1.2965</v>
      </c>
      <c r="D374" s="61">
        <f t="shared" si="20"/>
        <v>0.6885330252899776</v>
      </c>
      <c r="E374" s="62">
        <f t="shared" si="23"/>
        <v>1</v>
      </c>
    </row>
    <row r="375" spans="1:5" ht="12.75">
      <c r="A375" s="53">
        <v>36400</v>
      </c>
      <c r="B375" s="50">
        <f t="shared" si="21"/>
        <v>0.9045633453571325</v>
      </c>
      <c r="C375" s="51">
        <f t="shared" si="22"/>
        <v>1.307999999999999</v>
      </c>
      <c r="D375" s="61">
        <f t="shared" si="20"/>
        <v>0.06655651480416677</v>
      </c>
      <c r="E375" s="62">
        <f t="shared" si="23"/>
        <v>1</v>
      </c>
    </row>
    <row r="376" spans="1:5" ht="12.75">
      <c r="A376" s="53">
        <v>36500</v>
      </c>
      <c r="B376" s="50">
        <f t="shared" si="21"/>
        <v>0.9064989949384643</v>
      </c>
      <c r="C376" s="51">
        <f t="shared" si="22"/>
        <v>1.3194999999999992</v>
      </c>
      <c r="D376" s="61">
        <f t="shared" si="20"/>
        <v>1.286293125429338</v>
      </c>
      <c r="E376" s="62">
        <f t="shared" si="23"/>
        <v>1</v>
      </c>
    </row>
    <row r="377" spans="1:5" ht="12.75">
      <c r="A377" s="53">
        <v>36600</v>
      </c>
      <c r="B377" s="50">
        <f t="shared" si="21"/>
        <v>0.9084054945343041</v>
      </c>
      <c r="C377" s="51">
        <f t="shared" si="22"/>
        <v>1.3309999999999995</v>
      </c>
      <c r="D377" s="61">
        <f t="shared" si="20"/>
        <v>2.432102716383035</v>
      </c>
      <c r="E377" s="62">
        <f t="shared" si="23"/>
        <v>0</v>
      </c>
    </row>
    <row r="378" spans="1:5" ht="12.75">
      <c r="A378" s="53">
        <v>36700</v>
      </c>
      <c r="B378" s="50">
        <f t="shared" si="21"/>
        <v>0.9102830348115378</v>
      </c>
      <c r="C378" s="51">
        <f t="shared" si="22"/>
        <v>1.3424999999999998</v>
      </c>
      <c r="D378" s="61">
        <f t="shared" si="20"/>
        <v>0.12739227211021042</v>
      </c>
      <c r="E378" s="62">
        <f t="shared" si="23"/>
        <v>1</v>
      </c>
    </row>
    <row r="379" spans="1:5" ht="12.75">
      <c r="A379" s="53">
        <v>36800</v>
      </c>
      <c r="B379" s="50">
        <f t="shared" si="21"/>
        <v>0.9121318111418399</v>
      </c>
      <c r="C379" s="51">
        <f t="shared" si="22"/>
        <v>1.3539999999999996</v>
      </c>
      <c r="D379" s="61">
        <f t="shared" si="20"/>
        <v>1.7700701310325864</v>
      </c>
      <c r="E379" s="62">
        <f t="shared" si="23"/>
        <v>0</v>
      </c>
    </row>
    <row r="380" spans="1:5" ht="12.75">
      <c r="A380" s="53">
        <v>36900</v>
      </c>
      <c r="B380" s="50">
        <f t="shared" si="21"/>
        <v>0.913952023452992</v>
      </c>
      <c r="C380" s="51">
        <f t="shared" si="22"/>
        <v>1.3654999999999995</v>
      </c>
      <c r="D380" s="61">
        <f t="shared" si="20"/>
        <v>0.847684555299606</v>
      </c>
      <c r="E380" s="62">
        <f t="shared" si="23"/>
        <v>1</v>
      </c>
    </row>
    <row r="381" spans="1:5" ht="12.75">
      <c r="A381" s="53">
        <v>37000</v>
      </c>
      <c r="B381" s="50">
        <f t="shared" si="21"/>
        <v>0.9157438760800853</v>
      </c>
      <c r="C381" s="51">
        <f t="shared" si="22"/>
        <v>1.376999999999999</v>
      </c>
      <c r="D381" s="61">
        <f t="shared" si="20"/>
        <v>0.6241164969000208</v>
      </c>
      <c r="E381" s="62">
        <f t="shared" si="23"/>
        <v>1</v>
      </c>
    </row>
    <row r="382" spans="1:5" ht="12.75">
      <c r="A382" s="53">
        <v>37100</v>
      </c>
      <c r="B382" s="50">
        <f t="shared" si="21"/>
        <v>0.9175075776167103</v>
      </c>
      <c r="C382" s="51">
        <f t="shared" si="22"/>
        <v>1.3884999999999992</v>
      </c>
      <c r="D382" s="61">
        <f t="shared" si="20"/>
        <v>1.3690773981273254</v>
      </c>
      <c r="E382" s="62">
        <f t="shared" si="23"/>
        <v>1</v>
      </c>
    </row>
    <row r="383" spans="1:5" ht="12.75">
      <c r="A383" s="53">
        <v>37200</v>
      </c>
      <c r="B383" s="50">
        <f t="shared" si="21"/>
        <v>0.9192433407662289</v>
      </c>
      <c r="C383" s="51">
        <f t="shared" si="22"/>
        <v>1.4</v>
      </c>
      <c r="D383" s="61">
        <f t="shared" si="20"/>
        <v>0.6319190500219174</v>
      </c>
      <c r="E383" s="62">
        <f t="shared" si="23"/>
        <v>1</v>
      </c>
    </row>
    <row r="384" spans="1:5" ht="12.75">
      <c r="A384" s="53">
        <v>37300</v>
      </c>
      <c r="B384" s="50">
        <f t="shared" si="21"/>
        <v>0.9209513821932268</v>
      </c>
      <c r="C384" s="51">
        <f t="shared" si="22"/>
        <v>1.4114999999999998</v>
      </c>
      <c r="D384" s="61">
        <f t="shared" si="20"/>
        <v>0.36792889163334364</v>
      </c>
      <c r="E384" s="62">
        <f t="shared" si="23"/>
        <v>1</v>
      </c>
    </row>
    <row r="385" spans="1:5" ht="12.75">
      <c r="A385" s="53">
        <v>37400</v>
      </c>
      <c r="B385" s="50">
        <f t="shared" si="21"/>
        <v>0.9226319223752405</v>
      </c>
      <c r="C385" s="51">
        <f t="shared" si="22"/>
        <v>1.4229999999999996</v>
      </c>
      <c r="D385" s="61">
        <f t="shared" si="20"/>
        <v>1.8810429977348335</v>
      </c>
      <c r="E385" s="62">
        <f t="shared" si="23"/>
        <v>0</v>
      </c>
    </row>
    <row r="386" spans="1:5" ht="12.75">
      <c r="A386" s="53">
        <v>37500</v>
      </c>
      <c r="B386" s="50">
        <f t="shared" si="21"/>
        <v>0.9242851854548514</v>
      </c>
      <c r="C386" s="51">
        <f t="shared" si="22"/>
        <v>1.4344999999999999</v>
      </c>
      <c r="D386" s="61">
        <f t="shared" si="20"/>
        <v>2.9879756866375935</v>
      </c>
      <c r="E386" s="62">
        <f t="shared" si="23"/>
        <v>0</v>
      </c>
    </row>
    <row r="387" spans="1:5" ht="12.75">
      <c r="A387" s="53">
        <v>37600</v>
      </c>
      <c r="B387" s="50">
        <f t="shared" si="21"/>
        <v>0.9259113990922376</v>
      </c>
      <c r="C387" s="51">
        <f t="shared" si="22"/>
        <v>1.4459999999999993</v>
      </c>
      <c r="D387" s="61">
        <f t="shared" si="20"/>
        <v>1.3147353910443278</v>
      </c>
      <c r="E387" s="62">
        <f t="shared" si="23"/>
        <v>1</v>
      </c>
    </row>
    <row r="388" spans="1:5" ht="12.75">
      <c r="A388" s="53">
        <v>37700</v>
      </c>
      <c r="B388" s="50">
        <f t="shared" si="21"/>
        <v>0.9275107943182748</v>
      </c>
      <c r="C388" s="51">
        <f t="shared" si="22"/>
        <v>1.4574999999999987</v>
      </c>
      <c r="D388" s="61">
        <f t="shared" si="20"/>
        <v>2.4607237571635086</v>
      </c>
      <c r="E388" s="62">
        <f t="shared" si="23"/>
        <v>0</v>
      </c>
    </row>
    <row r="389" spans="1:5" ht="12.75">
      <c r="A389" s="53">
        <v>37800</v>
      </c>
      <c r="B389" s="50">
        <f t="shared" si="21"/>
        <v>0.929083605388271</v>
      </c>
      <c r="C389" s="51">
        <f t="shared" si="22"/>
        <v>1.4689999999999994</v>
      </c>
      <c r="D389" s="61">
        <f t="shared" si="20"/>
        <v>1.7202463918850845</v>
      </c>
      <c r="E389" s="62">
        <f t="shared" si="23"/>
        <v>0</v>
      </c>
    </row>
    <row r="390" spans="1:5" ht="12.75">
      <c r="A390" s="53">
        <v>37900</v>
      </c>
      <c r="B390" s="50">
        <f t="shared" si="21"/>
        <v>0.9306300696364223</v>
      </c>
      <c r="C390" s="51">
        <f t="shared" si="22"/>
        <v>1.4804999999999997</v>
      </c>
      <c r="D390" s="61">
        <f t="shared" si="20"/>
        <v>1.315709782107072</v>
      </c>
      <c r="E390" s="62">
        <f t="shared" si="23"/>
        <v>1</v>
      </c>
    </row>
    <row r="391" spans="1:5" ht="12.75">
      <c r="A391" s="53">
        <v>38000</v>
      </c>
      <c r="B391" s="50">
        <f t="shared" si="21"/>
        <v>0.9321504273310723</v>
      </c>
      <c r="C391" s="51">
        <f t="shared" si="22"/>
        <v>1.491999999999999</v>
      </c>
      <c r="D391" s="61">
        <f t="shared" si="20"/>
        <v>0.2210385149585345</v>
      </c>
      <c r="E391" s="62">
        <f t="shared" si="23"/>
        <v>1</v>
      </c>
    </row>
    <row r="392" spans="1:5" ht="12.75">
      <c r="A392" s="53">
        <v>38100</v>
      </c>
      <c r="B392" s="50">
        <f t="shared" si="21"/>
        <v>0.9336449215308591</v>
      </c>
      <c r="C392" s="51">
        <f t="shared" si="22"/>
        <v>1.5034999999999994</v>
      </c>
      <c r="D392" s="61">
        <f t="shared" si="20"/>
        <v>-0.19696480533137484</v>
      </c>
      <c r="E392" s="62">
        <f t="shared" si="23"/>
        <v>1</v>
      </c>
    </row>
    <row r="393" spans="1:5" ht="12.75">
      <c r="A393" s="53">
        <v>38200</v>
      </c>
      <c r="B393" s="50">
        <f t="shared" si="21"/>
        <v>0.9351137979418236</v>
      </c>
      <c r="C393" s="51">
        <f t="shared" si="22"/>
        <v>1.5149999999999992</v>
      </c>
      <c r="D393" s="61">
        <f t="shared" si="20"/>
        <v>0.7315298863423079</v>
      </c>
      <c r="E393" s="62">
        <f t="shared" si="23"/>
        <v>1</v>
      </c>
    </row>
    <row r="394" spans="1:5" ht="12.75">
      <c r="A394" s="53">
        <v>38300</v>
      </c>
      <c r="B394" s="50">
        <f t="shared" si="21"/>
        <v>0.9365573047755622</v>
      </c>
      <c r="C394" s="51">
        <f t="shared" si="22"/>
        <v>1.5265</v>
      </c>
      <c r="D394" s="61">
        <f t="shared" si="20"/>
        <v>0.7726541396467054</v>
      </c>
      <c r="E394" s="62">
        <f t="shared" si="23"/>
        <v>1</v>
      </c>
    </row>
    <row r="395" spans="1:5" ht="12.75">
      <c r="A395" s="53">
        <v>38400</v>
      </c>
      <c r="B395" s="50">
        <f t="shared" si="21"/>
        <v>0.9379756926084983</v>
      </c>
      <c r="C395" s="51">
        <f t="shared" si="22"/>
        <v>1.5379999999999994</v>
      </c>
      <c r="D395" s="61">
        <f aca="true" t="shared" si="24" ref="D395:D458">NORMALRANDOM(0,1)</f>
        <v>2.3157367191414906</v>
      </c>
      <c r="E395" s="62">
        <f t="shared" si="23"/>
        <v>0</v>
      </c>
    </row>
    <row r="396" spans="1:5" ht="12.75">
      <c r="A396" s="53">
        <v>38500</v>
      </c>
      <c r="B396" s="50">
        <f aca="true" t="shared" si="25" ref="B396:B459">NORMDIST(intercept+slope*A396,0,1,1)</f>
        <v>0.9393692142423424</v>
      </c>
      <c r="C396" s="51">
        <f aca="true" t="shared" si="26" ref="C396:C459">NORMINV(B396,0,1)</f>
        <v>1.5494999999999992</v>
      </c>
      <c r="D396" s="61">
        <f t="shared" si="24"/>
        <v>-0.6910064544538401</v>
      </c>
      <c r="E396" s="62">
        <f aca="true" t="shared" si="27" ref="E396:E459">IF(D396&lt;C396,1,0)</f>
        <v>1</v>
      </c>
    </row>
    <row r="397" spans="1:5" ht="12.75">
      <c r="A397" s="53">
        <v>38600</v>
      </c>
      <c r="B397" s="50">
        <f t="shared" si="25"/>
        <v>0.9407381245658126</v>
      </c>
      <c r="C397" s="51">
        <f t="shared" si="26"/>
        <v>1.561</v>
      </c>
      <c r="D397" s="61">
        <f t="shared" si="24"/>
        <v>1.5619261819289092</v>
      </c>
      <c r="E397" s="62">
        <f t="shared" si="27"/>
        <v>0</v>
      </c>
    </row>
    <row r="398" spans="1:5" ht="12.75">
      <c r="A398" s="53">
        <v>38700</v>
      </c>
      <c r="B398" s="50">
        <f t="shared" si="25"/>
        <v>0.9420826804176873</v>
      </c>
      <c r="C398" s="51">
        <f t="shared" si="26"/>
        <v>1.572499999999999</v>
      </c>
      <c r="D398" s="61">
        <f t="shared" si="24"/>
        <v>1.5244274833120257</v>
      </c>
      <c r="E398" s="62">
        <f t="shared" si="27"/>
        <v>1</v>
      </c>
    </row>
    <row r="399" spans="1:5" ht="12.75">
      <c r="A399" s="53">
        <v>38800</v>
      </c>
      <c r="B399" s="50">
        <f t="shared" si="25"/>
        <v>0.9434031404512537</v>
      </c>
      <c r="C399" s="51">
        <f t="shared" si="26"/>
        <v>1.5839999999999992</v>
      </c>
      <c r="D399" s="61">
        <f t="shared" si="24"/>
        <v>2.1713874483077618</v>
      </c>
      <c r="E399" s="62">
        <f t="shared" si="27"/>
        <v>0</v>
      </c>
    </row>
    <row r="400" spans="1:5" ht="12.75">
      <c r="A400" s="53">
        <v>38900</v>
      </c>
      <c r="B400" s="50">
        <f t="shared" si="25"/>
        <v>0.9446997650002149</v>
      </c>
      <c r="C400" s="51">
        <f t="shared" si="26"/>
        <v>1.5954999999999995</v>
      </c>
      <c r="D400" s="61">
        <f t="shared" si="24"/>
        <v>0.907429363838063</v>
      </c>
      <c r="E400" s="62">
        <f t="shared" si="27"/>
        <v>1</v>
      </c>
    </row>
    <row r="401" spans="1:5" ht="12.75">
      <c r="A401" s="53">
        <v>39000</v>
      </c>
      <c r="B401" s="50">
        <f t="shared" si="25"/>
        <v>0.9459728159461208</v>
      </c>
      <c r="C401" s="51">
        <f t="shared" si="26"/>
        <v>1.6070000000000002</v>
      </c>
      <c r="D401" s="61">
        <f t="shared" si="24"/>
        <v>0.8590866690584219</v>
      </c>
      <c r="E401" s="62">
        <f t="shared" si="27"/>
        <v>1</v>
      </c>
    </row>
    <row r="402" spans="1:5" ht="12.75">
      <c r="A402" s="53">
        <v>39100</v>
      </c>
      <c r="B402" s="50">
        <f t="shared" si="25"/>
        <v>0.94722255658738</v>
      </c>
      <c r="C402" s="51">
        <f t="shared" si="26"/>
        <v>1.6184999999999992</v>
      </c>
      <c r="D402" s="61">
        <f t="shared" si="24"/>
        <v>0.16781668998205057</v>
      </c>
      <c r="E402" s="62">
        <f t="shared" si="27"/>
        <v>1</v>
      </c>
    </row>
    <row r="403" spans="1:5" ht="12.75">
      <c r="A403" s="53">
        <v>39200</v>
      </c>
      <c r="B403" s="50">
        <f t="shared" si="25"/>
        <v>0.9484492515099106</v>
      </c>
      <c r="C403" s="51">
        <f t="shared" si="26"/>
        <v>1.63</v>
      </c>
      <c r="D403" s="61">
        <f t="shared" si="24"/>
        <v>0.8436484199816454</v>
      </c>
      <c r="E403" s="62">
        <f t="shared" si="27"/>
        <v>1</v>
      </c>
    </row>
    <row r="404" spans="1:5" ht="12.75">
      <c r="A404" s="53">
        <v>39300</v>
      </c>
      <c r="B404" s="50">
        <f t="shared" si="25"/>
        <v>0.9496531664594843</v>
      </c>
      <c r="C404" s="51">
        <f t="shared" si="26"/>
        <v>1.6414999999999993</v>
      </c>
      <c r="D404" s="61">
        <f t="shared" si="24"/>
        <v>1.9571364863330327</v>
      </c>
      <c r="E404" s="62">
        <f t="shared" si="27"/>
        <v>0</v>
      </c>
    </row>
    <row r="405" spans="1:5" ht="12.75">
      <c r="A405" s="53">
        <v>39400</v>
      </c>
      <c r="B405" s="50">
        <f t="shared" si="25"/>
        <v>0.9508345682158166</v>
      </c>
      <c r="C405" s="51">
        <f t="shared" si="26"/>
        <v>1.6529999999999978</v>
      </c>
      <c r="D405" s="61">
        <f t="shared" si="24"/>
        <v>-1.1723413310622683</v>
      </c>
      <c r="E405" s="62">
        <f t="shared" si="27"/>
        <v>1</v>
      </c>
    </row>
    <row r="406" spans="1:5" ht="12.75">
      <c r="A406" s="53">
        <v>39500</v>
      </c>
      <c r="B406" s="50">
        <f t="shared" si="25"/>
        <v>0.9519937244684544</v>
      </c>
      <c r="C406" s="51">
        <f t="shared" si="26"/>
        <v>1.664499999999999</v>
      </c>
      <c r="D406" s="61">
        <f t="shared" si="24"/>
        <v>0.24120289785798166</v>
      </c>
      <c r="E406" s="62">
        <f t="shared" si="27"/>
        <v>1</v>
      </c>
    </row>
    <row r="407" spans="1:5" ht="12.75">
      <c r="A407" s="53">
        <v>39600</v>
      </c>
      <c r="B407" s="50">
        <f t="shared" si="25"/>
        <v>0.9531309036945053</v>
      </c>
      <c r="C407" s="51">
        <f t="shared" si="26"/>
        <v>1.6760000000000002</v>
      </c>
      <c r="D407" s="61">
        <f t="shared" si="24"/>
        <v>-1.0291680367045053</v>
      </c>
      <c r="E407" s="62">
        <f t="shared" si="27"/>
        <v>1</v>
      </c>
    </row>
    <row r="408" spans="1:5" ht="12.75">
      <c r="A408" s="53">
        <v>39700</v>
      </c>
      <c r="B408" s="50">
        <f t="shared" si="25"/>
        <v>0.9542463750382588</v>
      </c>
      <c r="C408" s="51">
        <f t="shared" si="26"/>
        <v>1.6874999999999996</v>
      </c>
      <c r="D408" s="61">
        <f t="shared" si="24"/>
        <v>0.9858353642200643</v>
      </c>
      <c r="E408" s="62">
        <f t="shared" si="27"/>
        <v>1</v>
      </c>
    </row>
    <row r="409" spans="1:5" ht="12.75">
      <c r="A409" s="53">
        <v>39800</v>
      </c>
      <c r="B409" s="50">
        <f t="shared" si="25"/>
        <v>0.9553404081927395</v>
      </c>
      <c r="C409" s="51">
        <f t="shared" si="26"/>
        <v>1.698999999999998</v>
      </c>
      <c r="D409" s="61">
        <f t="shared" si="24"/>
        <v>-0.39038094205443535</v>
      </c>
      <c r="E409" s="62">
        <f t="shared" si="27"/>
        <v>1</v>
      </c>
    </row>
    <row r="410" spans="1:5" ht="12.75">
      <c r="A410" s="53">
        <v>39900</v>
      </c>
      <c r="B410" s="50">
        <f t="shared" si="25"/>
        <v>0.9564132732832328</v>
      </c>
      <c r="C410" s="51">
        <f t="shared" si="26"/>
        <v>1.7104999999999992</v>
      </c>
      <c r="D410" s="61">
        <f t="shared" si="24"/>
        <v>1.5044907921534205</v>
      </c>
      <c r="E410" s="62">
        <f t="shared" si="27"/>
        <v>1</v>
      </c>
    </row>
    <row r="411" spans="1:5" ht="12.75">
      <c r="A411" s="53">
        <v>40000</v>
      </c>
      <c r="B411" s="50">
        <f t="shared" si="25"/>
        <v>0.9574652407528241</v>
      </c>
      <c r="C411" s="51">
        <f t="shared" si="26"/>
        <v>1.721999999999999</v>
      </c>
      <c r="D411" s="61">
        <f t="shared" si="24"/>
        <v>1.6029767534895816</v>
      </c>
      <c r="E411" s="62">
        <f t="shared" si="27"/>
        <v>1</v>
      </c>
    </row>
    <row r="412" spans="1:5" ht="12.75">
      <c r="A412" s="53">
        <v>40100</v>
      </c>
      <c r="B412" s="50">
        <f t="shared" si="25"/>
        <v>0.9584965812499844</v>
      </c>
      <c r="C412" s="51">
        <f t="shared" si="26"/>
        <v>1.733499999999998</v>
      </c>
      <c r="D412" s="61">
        <f t="shared" si="24"/>
        <v>0.28424615959943855</v>
      </c>
      <c r="E412" s="62">
        <f t="shared" si="27"/>
        <v>1</v>
      </c>
    </row>
    <row r="413" spans="1:5" ht="12.75">
      <c r="A413" s="53">
        <v>40200</v>
      </c>
      <c r="B413" s="50">
        <f t="shared" si="25"/>
        <v>0.9595075655182401</v>
      </c>
      <c r="C413" s="51">
        <f t="shared" si="26"/>
        <v>1.745</v>
      </c>
      <c r="D413" s="61">
        <f t="shared" si="24"/>
        <v>1.844366331924581</v>
      </c>
      <c r="E413" s="62">
        <f t="shared" si="27"/>
        <v>0</v>
      </c>
    </row>
    <row r="414" spans="1:5" ht="12.75">
      <c r="A414" s="53">
        <v>40300</v>
      </c>
      <c r="B414" s="50">
        <f t="shared" si="25"/>
        <v>0.9604984642879542</v>
      </c>
      <c r="C414" s="51">
        <f t="shared" si="26"/>
        <v>1.7565000000000004</v>
      </c>
      <c r="D414" s="61">
        <f t="shared" si="24"/>
        <v>-0.6018636340033972</v>
      </c>
      <c r="E414" s="62">
        <f t="shared" si="27"/>
        <v>1</v>
      </c>
    </row>
    <row r="415" spans="1:5" ht="12.75">
      <c r="A415" s="53">
        <v>40400</v>
      </c>
      <c r="B415" s="50">
        <f t="shared" si="25"/>
        <v>0.9614695481702507</v>
      </c>
      <c r="C415" s="51">
        <f t="shared" si="26"/>
        <v>1.767999999999998</v>
      </c>
      <c r="D415" s="61">
        <f t="shared" si="24"/>
        <v>0.6640836464457581</v>
      </c>
      <c r="E415" s="62">
        <f t="shared" si="27"/>
        <v>1</v>
      </c>
    </row>
    <row r="416" spans="1:5" ht="12.75">
      <c r="A416" s="53">
        <v>40500</v>
      </c>
      <c r="B416" s="50">
        <f t="shared" si="25"/>
        <v>0.9624210875531103</v>
      </c>
      <c r="C416" s="51">
        <f t="shared" si="26"/>
        <v>1.7795000000000005</v>
      </c>
      <c r="D416" s="61">
        <f t="shared" si="24"/>
        <v>-1.3573305215027243</v>
      </c>
      <c r="E416" s="62">
        <f t="shared" si="27"/>
        <v>1</v>
      </c>
    </row>
    <row r="417" spans="1:5" ht="12.75">
      <c r="A417" s="53">
        <v>40600</v>
      </c>
      <c r="B417" s="50">
        <f t="shared" si="25"/>
        <v>0.9633533524996587</v>
      </c>
      <c r="C417" s="51">
        <f t="shared" si="26"/>
        <v>1.7909999999999995</v>
      </c>
      <c r="D417" s="61">
        <f t="shared" si="24"/>
        <v>0.5766307955099275</v>
      </c>
      <c r="E417" s="62">
        <f t="shared" si="27"/>
        <v>1</v>
      </c>
    </row>
    <row r="418" spans="1:5" ht="12.75">
      <c r="A418" s="53">
        <v>40700</v>
      </c>
      <c r="B418" s="50">
        <f t="shared" si="25"/>
        <v>0.9642666126486726</v>
      </c>
      <c r="C418" s="51">
        <f t="shared" si="26"/>
        <v>1.8025000000000007</v>
      </c>
      <c r="D418" s="61">
        <f t="shared" si="24"/>
        <v>0.8997245117144073</v>
      </c>
      <c r="E418" s="62">
        <f t="shared" si="27"/>
        <v>1</v>
      </c>
    </row>
    <row r="419" spans="1:5" ht="12.75">
      <c r="A419" s="53">
        <v>40800</v>
      </c>
      <c r="B419" s="50">
        <f t="shared" si="25"/>
        <v>0.9651611371173245</v>
      </c>
      <c r="C419" s="51">
        <f t="shared" si="26"/>
        <v>1.8139999999999978</v>
      </c>
      <c r="D419" s="61">
        <f t="shared" si="24"/>
        <v>1.7577914445482568</v>
      </c>
      <c r="E419" s="62">
        <f t="shared" si="27"/>
        <v>1</v>
      </c>
    </row>
    <row r="420" spans="1:5" ht="12.75">
      <c r="A420" s="53">
        <v>40900</v>
      </c>
      <c r="B420" s="50">
        <f t="shared" si="25"/>
        <v>0.9660371944061802</v>
      </c>
      <c r="C420" s="51">
        <f t="shared" si="26"/>
        <v>1.8255</v>
      </c>
      <c r="D420" s="61">
        <f t="shared" si="24"/>
        <v>0.5671077210028919</v>
      </c>
      <c r="E420" s="62">
        <f t="shared" si="27"/>
        <v>1</v>
      </c>
    </row>
    <row r="421" spans="1:5" ht="12.75">
      <c r="A421" s="53">
        <v>41000</v>
      </c>
      <c r="B421" s="50">
        <f t="shared" si="25"/>
        <v>0.9668950523064712</v>
      </c>
      <c r="C421" s="51">
        <f t="shared" si="26"/>
        <v>1.8369999999999993</v>
      </c>
      <c r="D421" s="61">
        <f t="shared" si="24"/>
        <v>0.4807195181759858</v>
      </c>
      <c r="E421" s="62">
        <f t="shared" si="27"/>
        <v>1</v>
      </c>
    </row>
    <row r="422" spans="1:5" ht="12.75">
      <c r="A422" s="53">
        <v>41100</v>
      </c>
      <c r="B422" s="50">
        <f t="shared" si="25"/>
        <v>0.9677349778096507</v>
      </c>
      <c r="C422" s="51">
        <f t="shared" si="26"/>
        <v>1.8484999999999987</v>
      </c>
      <c r="D422" s="61">
        <f t="shared" si="24"/>
        <v>2.1359028184115925</v>
      </c>
      <c r="E422" s="62">
        <f t="shared" si="27"/>
        <v>0</v>
      </c>
    </row>
    <row r="423" spans="1:5" ht="12.75">
      <c r="A423" s="53">
        <v>41200</v>
      </c>
      <c r="B423" s="50">
        <f t="shared" si="25"/>
        <v>0.9685572370192472</v>
      </c>
      <c r="C423" s="51">
        <f t="shared" si="26"/>
        <v>1.8599999999999985</v>
      </c>
      <c r="D423" s="61">
        <f t="shared" si="24"/>
        <v>1.6173861350480678</v>
      </c>
      <c r="E423" s="62">
        <f t="shared" si="27"/>
        <v>1</v>
      </c>
    </row>
    <row r="424" spans="1:5" ht="12.75">
      <c r="A424" s="53">
        <v>41300</v>
      </c>
      <c r="B424" s="50">
        <f t="shared" si="25"/>
        <v>0.9693620950650264</v>
      </c>
      <c r="C424" s="51">
        <f t="shared" si="26"/>
        <v>1.8715000000000002</v>
      </c>
      <c r="D424" s="61">
        <f t="shared" si="24"/>
        <v>1.7891368290619347</v>
      </c>
      <c r="E424" s="62">
        <f t="shared" si="27"/>
        <v>1</v>
      </c>
    </row>
    <row r="425" spans="1:5" ht="12.75">
      <c r="A425" s="53">
        <v>41400</v>
      </c>
      <c r="B425" s="50">
        <f t="shared" si="25"/>
        <v>0.9701498160194661</v>
      </c>
      <c r="C425" s="51">
        <f t="shared" si="26"/>
        <v>1.883000000000001</v>
      </c>
      <c r="D425" s="61">
        <f t="shared" si="24"/>
        <v>0.927593122458292</v>
      </c>
      <c r="E425" s="62">
        <f t="shared" si="27"/>
        <v>1</v>
      </c>
    </row>
    <row r="426" spans="1:5" ht="12.75">
      <c r="A426" s="53">
        <v>41500</v>
      </c>
      <c r="B426" s="50">
        <f t="shared" si="25"/>
        <v>0.9709206628165546</v>
      </c>
      <c r="C426" s="51">
        <f t="shared" si="26"/>
        <v>1.8944999999999976</v>
      </c>
      <c r="D426" s="61">
        <f t="shared" si="24"/>
        <v>1.300843955540627</v>
      </c>
      <c r="E426" s="62">
        <f t="shared" si="27"/>
        <v>1</v>
      </c>
    </row>
    <row r="427" spans="1:5" ht="12.75">
      <c r="A427" s="53">
        <v>41600</v>
      </c>
      <c r="B427" s="50">
        <f t="shared" si="25"/>
        <v>0.9716748971729124</v>
      </c>
      <c r="C427" s="51">
        <f t="shared" si="26"/>
        <v>1.906000000000001</v>
      </c>
      <c r="D427" s="61">
        <f t="shared" si="24"/>
        <v>-0.1009408735419458</v>
      </c>
      <c r="E427" s="62">
        <f t="shared" si="27"/>
        <v>1</v>
      </c>
    </row>
    <row r="428" spans="1:5" ht="12.75">
      <c r="A428" s="53">
        <v>41700</v>
      </c>
      <c r="B428" s="50">
        <f t="shared" si="25"/>
        <v>0.9724127795112387</v>
      </c>
      <c r="C428" s="51">
        <f t="shared" si="26"/>
        <v>1.9174999999999995</v>
      </c>
      <c r="D428" s="61">
        <f t="shared" si="24"/>
        <v>2.349662019620949</v>
      </c>
      <c r="E428" s="62">
        <f t="shared" si="27"/>
        <v>0</v>
      </c>
    </row>
    <row r="429" spans="1:5" ht="12.75">
      <c r="A429" s="53">
        <v>41800</v>
      </c>
      <c r="B429" s="50">
        <f t="shared" si="25"/>
        <v>0.9731345688860878</v>
      </c>
      <c r="C429" s="51">
        <f t="shared" si="26"/>
        <v>1.928999999999999</v>
      </c>
      <c r="D429" s="61">
        <f t="shared" si="24"/>
        <v>2.7766830537894656</v>
      </c>
      <c r="E429" s="62">
        <f t="shared" si="27"/>
        <v>0</v>
      </c>
    </row>
    <row r="430" spans="1:5" ht="12.75">
      <c r="A430" s="53">
        <v>41900</v>
      </c>
      <c r="B430" s="50">
        <f t="shared" si="25"/>
        <v>0.9738405229119694</v>
      </c>
      <c r="C430" s="51">
        <f t="shared" si="26"/>
        <v>1.9404999999999992</v>
      </c>
      <c r="D430" s="61">
        <f t="shared" si="24"/>
        <v>0.9978659027466322</v>
      </c>
      <c r="E430" s="62">
        <f t="shared" si="27"/>
        <v>1</v>
      </c>
    </row>
    <row r="431" spans="1:5" ht="12.75">
      <c r="A431" s="53">
        <v>42000</v>
      </c>
      <c r="B431" s="50">
        <f t="shared" si="25"/>
        <v>0.9745308976937684</v>
      </c>
      <c r="C431" s="51">
        <f t="shared" si="26"/>
        <v>1.9519999999999977</v>
      </c>
      <c r="D431" s="61">
        <f t="shared" si="24"/>
        <v>1.0686511697012606</v>
      </c>
      <c r="E431" s="62">
        <f t="shared" si="27"/>
        <v>1</v>
      </c>
    </row>
    <row r="432" spans="1:5" ht="12.75">
      <c r="A432" s="53">
        <v>42100</v>
      </c>
      <c r="B432" s="50">
        <f t="shared" si="25"/>
        <v>0.9752059477594843</v>
      </c>
      <c r="C432" s="51">
        <f t="shared" si="26"/>
        <v>1.963499999999999</v>
      </c>
      <c r="D432" s="61">
        <f t="shared" si="24"/>
        <v>0.9825998510107046</v>
      </c>
      <c r="E432" s="62">
        <f t="shared" si="27"/>
        <v>1</v>
      </c>
    </row>
    <row r="433" spans="1:5" ht="12.75">
      <c r="A433" s="53">
        <v>42200</v>
      </c>
      <c r="B433" s="50">
        <f t="shared" si="25"/>
        <v>0.9758659259952753</v>
      </c>
      <c r="C433" s="51">
        <f t="shared" si="26"/>
        <v>1.9749999999999996</v>
      </c>
      <c r="D433" s="61">
        <f t="shared" si="24"/>
        <v>1.944875017818893</v>
      </c>
      <c r="E433" s="62">
        <f t="shared" si="27"/>
        <v>1</v>
      </c>
    </row>
    <row r="434" spans="1:5" ht="12.75">
      <c r="A434" s="53">
        <v>42300</v>
      </c>
      <c r="B434" s="50">
        <f t="shared" si="25"/>
        <v>0.9765110835828077</v>
      </c>
      <c r="C434" s="51">
        <f t="shared" si="26"/>
        <v>1.9864999999999977</v>
      </c>
      <c r="D434" s="61">
        <f t="shared" si="24"/>
        <v>1.2727841855014113</v>
      </c>
      <c r="E434" s="62">
        <f t="shared" si="27"/>
        <v>1</v>
      </c>
    </row>
    <row r="435" spans="1:5" ht="12.75">
      <c r="A435" s="53">
        <v>42400</v>
      </c>
      <c r="B435" s="50">
        <f t="shared" si="25"/>
        <v>0.9771416699388926</v>
      </c>
      <c r="C435" s="51">
        <f t="shared" si="26"/>
        <v>1.9979999999999998</v>
      </c>
      <c r="D435" s="61">
        <f t="shared" si="24"/>
        <v>1.4090376237309923</v>
      </c>
      <c r="E435" s="62">
        <f t="shared" si="27"/>
        <v>1</v>
      </c>
    </row>
    <row r="436" spans="1:5" ht="12.75">
      <c r="A436" s="53">
        <v>42500</v>
      </c>
      <c r="B436" s="50">
        <f t="shared" si="25"/>
        <v>0.977757932657401</v>
      </c>
      <c r="C436" s="51">
        <f t="shared" si="26"/>
        <v>2.009500000000002</v>
      </c>
      <c r="D436" s="61">
        <f t="shared" si="24"/>
        <v>-0.5470838211322209</v>
      </c>
      <c r="E436" s="62">
        <f t="shared" si="27"/>
        <v>1</v>
      </c>
    </row>
    <row r="437" spans="1:5" ht="12.75">
      <c r="A437" s="53">
        <v>42600</v>
      </c>
      <c r="B437" s="50">
        <f t="shared" si="25"/>
        <v>0.9783601174534456</v>
      </c>
      <c r="C437" s="51">
        <f t="shared" si="26"/>
        <v>2.021000000000001</v>
      </c>
      <c r="D437" s="61">
        <f t="shared" si="24"/>
        <v>1.9239514401337017</v>
      </c>
      <c r="E437" s="62">
        <f t="shared" si="27"/>
        <v>1</v>
      </c>
    </row>
    <row r="438" spans="1:5" ht="12.75">
      <c r="A438" s="53">
        <v>42700</v>
      </c>
      <c r="B438" s="50">
        <f t="shared" si="25"/>
        <v>0.9789484681098117</v>
      </c>
      <c r="C438" s="51">
        <f t="shared" si="26"/>
        <v>2.032499999999997</v>
      </c>
      <c r="D438" s="61">
        <f t="shared" si="24"/>
        <v>0.12884328156233849</v>
      </c>
      <c r="E438" s="62">
        <f t="shared" si="27"/>
        <v>1</v>
      </c>
    </row>
    <row r="439" spans="1:5" ht="12.75">
      <c r="A439" s="53">
        <v>42800</v>
      </c>
      <c r="B439" s="50">
        <f t="shared" si="25"/>
        <v>0.9795232264256226</v>
      </c>
      <c r="C439" s="51">
        <f t="shared" si="26"/>
        <v>2.0440000000000023</v>
      </c>
      <c r="D439" s="61">
        <f t="shared" si="24"/>
        <v>0.8899495088372131</v>
      </c>
      <c r="E439" s="62">
        <f t="shared" si="27"/>
        <v>1</v>
      </c>
    </row>
    <row r="440" spans="1:5" ht="12.75">
      <c r="A440" s="53">
        <v>42900</v>
      </c>
      <c r="B440" s="50">
        <f t="shared" si="25"/>
        <v>0.9800846321672207</v>
      </c>
      <c r="C440" s="51">
        <f t="shared" si="26"/>
        <v>2.0554999999999986</v>
      </c>
      <c r="D440" s="61">
        <f t="shared" si="24"/>
        <v>1.9886213147300325</v>
      </c>
      <c r="E440" s="62">
        <f t="shared" si="27"/>
        <v>1</v>
      </c>
    </row>
    <row r="441" spans="1:5" ht="12.75">
      <c r="A441" s="53">
        <v>43000</v>
      </c>
      <c r="B441" s="50">
        <f t="shared" si="25"/>
        <v>0.9806329230212476</v>
      </c>
      <c r="C441" s="51">
        <f t="shared" si="26"/>
        <v>2.0669999999999993</v>
      </c>
      <c r="D441" s="61">
        <f t="shared" si="24"/>
        <v>1.7955045811526469</v>
      </c>
      <c r="E441" s="62">
        <f t="shared" si="27"/>
        <v>1</v>
      </c>
    </row>
    <row r="442" spans="1:5" ht="12.75">
      <c r="A442" s="53">
        <v>43100</v>
      </c>
      <c r="B442" s="50">
        <f t="shared" si="25"/>
        <v>0.9811683345498998</v>
      </c>
      <c r="C442" s="51">
        <f t="shared" si="26"/>
        <v>2.0785</v>
      </c>
      <c r="D442" s="61">
        <f t="shared" si="24"/>
        <v>0.6382049012812411</v>
      </c>
      <c r="E442" s="62">
        <f t="shared" si="27"/>
        <v>1</v>
      </c>
    </row>
    <row r="443" spans="1:5" ht="12.75">
      <c r="A443" s="53">
        <v>43200</v>
      </c>
      <c r="B443" s="50">
        <f t="shared" si="25"/>
        <v>0.981691100148341</v>
      </c>
      <c r="C443" s="51">
        <f t="shared" si="26"/>
        <v>2.089999999999999</v>
      </c>
      <c r="D443" s="61">
        <f t="shared" si="24"/>
        <v>-1.1267780088357104</v>
      </c>
      <c r="E443" s="62">
        <f t="shared" si="27"/>
        <v>1</v>
      </c>
    </row>
    <row r="444" spans="1:5" ht="12.75">
      <c r="A444" s="53">
        <v>43300</v>
      </c>
      <c r="B444" s="50">
        <f t="shared" si="25"/>
        <v>0.9822014510042472</v>
      </c>
      <c r="C444" s="51">
        <f t="shared" si="26"/>
        <v>2.101499999999999</v>
      </c>
      <c r="D444" s="61">
        <f t="shared" si="24"/>
        <v>2.4781716442502533</v>
      </c>
      <c r="E444" s="62">
        <f t="shared" si="27"/>
        <v>0</v>
      </c>
    </row>
    <row r="445" spans="1:5" ht="12.75">
      <c r="A445" s="53">
        <v>43400</v>
      </c>
      <c r="B445" s="50">
        <f t="shared" si="25"/>
        <v>0.9826996160594608</v>
      </c>
      <c r="C445" s="51">
        <f t="shared" si="26"/>
        <v>2.112999999999997</v>
      </c>
      <c r="D445" s="61">
        <f t="shared" si="24"/>
        <v>1.1090324713094193</v>
      </c>
      <c r="E445" s="62">
        <f t="shared" si="27"/>
        <v>1</v>
      </c>
    </row>
    <row r="446" spans="1:5" ht="12.75">
      <c r="A446" s="53">
        <v>43500</v>
      </c>
      <c r="B446" s="50">
        <f t="shared" si="25"/>
        <v>0.9831858219737302</v>
      </c>
      <c r="C446" s="51">
        <f t="shared" si="26"/>
        <v>2.124499999999996</v>
      </c>
      <c r="D446" s="61">
        <f t="shared" si="24"/>
        <v>0.32941685610208316</v>
      </c>
      <c r="E446" s="62">
        <f t="shared" si="27"/>
        <v>1</v>
      </c>
    </row>
    <row r="447" spans="1:5" ht="12.75">
      <c r="A447" s="53">
        <v>43600</v>
      </c>
      <c r="B447" s="50">
        <f t="shared" si="25"/>
        <v>0.9836602930905061</v>
      </c>
      <c r="C447" s="51">
        <f t="shared" si="26"/>
        <v>2.1359999999999975</v>
      </c>
      <c r="D447" s="61">
        <f t="shared" si="24"/>
        <v>3.430633724237306</v>
      </c>
      <c r="E447" s="62">
        <f t="shared" si="27"/>
        <v>0</v>
      </c>
    </row>
    <row r="448" spans="1:5" ht="12.75">
      <c r="A448" s="53">
        <v>43700</v>
      </c>
      <c r="B448" s="50">
        <f t="shared" si="25"/>
        <v>0.9841232514047705</v>
      </c>
      <c r="C448" s="51">
        <f t="shared" si="26"/>
        <v>2.1474999999999964</v>
      </c>
      <c r="D448" s="61">
        <f t="shared" si="24"/>
        <v>0.9769992211915194</v>
      </c>
      <c r="E448" s="62">
        <f t="shared" si="27"/>
        <v>1</v>
      </c>
    </row>
    <row r="449" spans="1:5" ht="12.75">
      <c r="A449" s="53">
        <v>43800</v>
      </c>
      <c r="B449" s="50">
        <f t="shared" si="25"/>
        <v>0.9845749165328694</v>
      </c>
      <c r="C449" s="51">
        <f t="shared" si="26"/>
        <v>2.1590000000000016</v>
      </c>
      <c r="D449" s="61">
        <f t="shared" si="24"/>
        <v>2.0333167953157574</v>
      </c>
      <c r="E449" s="62">
        <f t="shared" si="27"/>
        <v>1</v>
      </c>
    </row>
    <row r="450" spans="1:5" ht="12.75">
      <c r="A450" s="53">
        <v>43900</v>
      </c>
      <c r="B450" s="50">
        <f t="shared" si="25"/>
        <v>0.9850155056843182</v>
      </c>
      <c r="C450" s="51">
        <f t="shared" si="26"/>
        <v>2.170499999999998</v>
      </c>
      <c r="D450" s="61">
        <f t="shared" si="24"/>
        <v>0.6717539653615778</v>
      </c>
      <c r="E450" s="62">
        <f t="shared" si="27"/>
        <v>1</v>
      </c>
    </row>
    <row r="451" spans="1:5" ht="12.75">
      <c r="A451" s="53">
        <v>44000</v>
      </c>
      <c r="B451" s="50">
        <f t="shared" si="25"/>
        <v>0.9854452336355564</v>
      </c>
      <c r="C451" s="51">
        <f t="shared" si="26"/>
        <v>2.181999999999997</v>
      </c>
      <c r="D451" s="61">
        <f t="shared" si="24"/>
        <v>-2.4743901599927525</v>
      </c>
      <c r="E451" s="62">
        <f t="shared" si="27"/>
        <v>1</v>
      </c>
    </row>
    <row r="452" spans="1:5" ht="12.75">
      <c r="A452" s="53">
        <v>44100</v>
      </c>
      <c r="B452" s="50">
        <f t="shared" si="25"/>
        <v>0.9858643127056123</v>
      </c>
      <c r="C452" s="51">
        <f t="shared" si="26"/>
        <v>2.193500000000002</v>
      </c>
      <c r="D452" s="61">
        <f t="shared" si="24"/>
        <v>-2.1982325223236145</v>
      </c>
      <c r="E452" s="62">
        <f t="shared" si="27"/>
        <v>1</v>
      </c>
    </row>
    <row r="453" spans="1:5" ht="12.75">
      <c r="A453" s="53">
        <v>44200</v>
      </c>
      <c r="B453" s="50">
        <f t="shared" si="25"/>
        <v>0.9862729527336548</v>
      </c>
      <c r="C453" s="51">
        <f t="shared" si="26"/>
        <v>2.205</v>
      </c>
      <c r="D453" s="61">
        <f t="shared" si="24"/>
        <v>-0.06018291322603461</v>
      </c>
      <c r="E453" s="62">
        <f t="shared" si="27"/>
        <v>1</v>
      </c>
    </row>
    <row r="454" spans="1:5" ht="12.75">
      <c r="A454" s="53">
        <v>44300</v>
      </c>
      <c r="B454" s="50">
        <f t="shared" si="25"/>
        <v>0.986671361058395</v>
      </c>
      <c r="C454" s="51">
        <f t="shared" si="26"/>
        <v>2.216499999999998</v>
      </c>
      <c r="D454" s="61">
        <f t="shared" si="24"/>
        <v>1.5616293957092382</v>
      </c>
      <c r="E454" s="62">
        <f t="shared" si="27"/>
        <v>1</v>
      </c>
    </row>
    <row r="455" spans="1:5" ht="12.75">
      <c r="A455" s="53">
        <v>44400</v>
      </c>
      <c r="B455" s="50">
        <f t="shared" si="25"/>
        <v>0.987059742499308</v>
      </c>
      <c r="C455" s="51">
        <f t="shared" si="26"/>
        <v>2.227999999999996</v>
      </c>
      <c r="D455" s="61">
        <f t="shared" si="24"/>
        <v>0.6655582295681731</v>
      </c>
      <c r="E455" s="62">
        <f t="shared" si="27"/>
        <v>1</v>
      </c>
    </row>
    <row r="456" spans="1:5" ht="12.75">
      <c r="A456" s="53">
        <v>44500</v>
      </c>
      <c r="B456" s="50">
        <f t="shared" si="25"/>
        <v>0.98743829933964</v>
      </c>
      <c r="C456" s="51">
        <f t="shared" si="26"/>
        <v>2.2394999999999996</v>
      </c>
      <c r="D456" s="61">
        <f t="shared" si="24"/>
        <v>2.0523504272215263</v>
      </c>
      <c r="E456" s="62">
        <f t="shared" si="27"/>
        <v>1</v>
      </c>
    </row>
    <row r="457" spans="1:5" ht="12.75">
      <c r="A457" s="53">
        <v>44600</v>
      </c>
      <c r="B457" s="50">
        <f t="shared" si="25"/>
        <v>0.987807231311167</v>
      </c>
      <c r="C457" s="51">
        <f t="shared" si="26"/>
        <v>2.2509999999999994</v>
      </c>
      <c r="D457" s="61">
        <f t="shared" si="24"/>
        <v>1.6768074475953072</v>
      </c>
      <c r="E457" s="62">
        <f t="shared" si="27"/>
        <v>1</v>
      </c>
    </row>
    <row r="458" spans="1:5" ht="12.75">
      <c r="A458" s="53">
        <v>44700</v>
      </c>
      <c r="B458" s="50">
        <f t="shared" si="25"/>
        <v>0.9881667355806733</v>
      </c>
      <c r="C458" s="51">
        <f t="shared" si="26"/>
        <v>2.262500000000001</v>
      </c>
      <c r="D458" s="61">
        <f t="shared" si="24"/>
        <v>2.7838541826936787</v>
      </c>
      <c r="E458" s="62">
        <f t="shared" si="27"/>
        <v>0</v>
      </c>
    </row>
    <row r="459" spans="1:5" ht="12.75">
      <c r="A459" s="53">
        <v>44800</v>
      </c>
      <c r="B459" s="50">
        <f t="shared" si="25"/>
        <v>0.9885170067381117</v>
      </c>
      <c r="C459" s="51">
        <f t="shared" si="26"/>
        <v>2.2739999999999982</v>
      </c>
      <c r="D459" s="61">
        <f aca="true" t="shared" si="28" ref="D459:D510">NORMALRANDOM(0,1)</f>
        <v>0.3370904118513204</v>
      </c>
      <c r="E459" s="62">
        <f t="shared" si="27"/>
        <v>1</v>
      </c>
    </row>
    <row r="460" spans="1:5" ht="12.75">
      <c r="A460" s="53">
        <v>44900</v>
      </c>
      <c r="B460" s="50">
        <f aca="true" t="shared" si="29" ref="B460:B510">NORMDIST(intercept+slope*A460,0,1,1)</f>
        <v>0.9888582367864116</v>
      </c>
      <c r="C460" s="51">
        <f aca="true" t="shared" si="30" ref="C460:C510">NORMINV(B460,0,1)</f>
        <v>2.2854999999999954</v>
      </c>
      <c r="D460" s="61">
        <f t="shared" si="28"/>
        <v>2.4230799570474333</v>
      </c>
      <c r="E460" s="62">
        <f aca="true" t="shared" si="31" ref="E460:E510">IF(D460&lt;C460,1,0)</f>
        <v>0</v>
      </c>
    </row>
    <row r="461" spans="1:5" ht="12.75">
      <c r="A461" s="53">
        <v>45000</v>
      </c>
      <c r="B461" s="50">
        <f t="shared" si="29"/>
        <v>0.989190615132902</v>
      </c>
      <c r="C461" s="51">
        <f t="shared" si="30"/>
        <v>2.2969999999999997</v>
      </c>
      <c r="D461" s="61">
        <f t="shared" si="28"/>
        <v>1.0332088975427651</v>
      </c>
      <c r="E461" s="62">
        <f t="shared" si="31"/>
        <v>1</v>
      </c>
    </row>
    <row r="462" spans="1:5" ht="12.75">
      <c r="A462" s="53">
        <v>45100</v>
      </c>
      <c r="B462" s="50">
        <f t="shared" si="29"/>
        <v>0.9895143285823056</v>
      </c>
      <c r="C462" s="51">
        <f t="shared" si="30"/>
        <v>2.308500000000002</v>
      </c>
      <c r="D462" s="61">
        <f t="shared" si="28"/>
        <v>-0.2098210168086292</v>
      </c>
      <c r="E462" s="62">
        <f t="shared" si="31"/>
        <v>1</v>
      </c>
    </row>
    <row r="463" spans="1:5" ht="12.75">
      <c r="A463" s="53">
        <v>45200</v>
      </c>
      <c r="B463" s="50">
        <f t="shared" si="29"/>
        <v>0.9898295613312802</v>
      </c>
      <c r="C463" s="51">
        <f t="shared" si="30"/>
        <v>2.319999999999996</v>
      </c>
      <c r="D463" s="61">
        <f t="shared" si="28"/>
        <v>1.074189422821216</v>
      </c>
      <c r="E463" s="62">
        <f t="shared" si="31"/>
        <v>1</v>
      </c>
    </row>
    <row r="464" spans="1:5" ht="12.75">
      <c r="A464" s="53">
        <v>45300</v>
      </c>
      <c r="B464" s="50">
        <f t="shared" si="29"/>
        <v>0.9901364949644602</v>
      </c>
      <c r="C464" s="51">
        <f t="shared" si="30"/>
        <v>2.3315</v>
      </c>
      <c r="D464" s="61">
        <f t="shared" si="28"/>
        <v>0.8966704208700442</v>
      </c>
      <c r="E464" s="62">
        <f t="shared" si="31"/>
        <v>1</v>
      </c>
    </row>
    <row r="465" spans="1:5" ht="12.75">
      <c r="A465" s="53">
        <v>45400</v>
      </c>
      <c r="B465" s="50">
        <f t="shared" si="29"/>
        <v>0.9904353084519629</v>
      </c>
      <c r="C465" s="51">
        <f t="shared" si="30"/>
        <v>2.342999999999999</v>
      </c>
      <c r="D465" s="61">
        <f t="shared" si="28"/>
        <v>1.6962282873191898</v>
      </c>
      <c r="E465" s="62">
        <f t="shared" si="31"/>
        <v>1</v>
      </c>
    </row>
    <row r="466" spans="1:5" ht="12.75">
      <c r="A466" s="53">
        <v>45500</v>
      </c>
      <c r="B466" s="50">
        <f t="shared" si="29"/>
        <v>0.990726178148331</v>
      </c>
      <c r="C466" s="51">
        <f t="shared" si="30"/>
        <v>2.354499999999997</v>
      </c>
      <c r="D466" s="61">
        <f t="shared" si="28"/>
        <v>1.005255431895796</v>
      </c>
      <c r="E466" s="62">
        <f t="shared" si="31"/>
        <v>1</v>
      </c>
    </row>
    <row r="467" spans="1:5" ht="12.75">
      <c r="A467" s="53">
        <v>45600</v>
      </c>
      <c r="B467" s="50">
        <f t="shared" si="29"/>
        <v>0.9910092777928623</v>
      </c>
      <c r="C467" s="51">
        <f t="shared" si="30"/>
        <v>2.3660000000000005</v>
      </c>
      <c r="D467" s="61">
        <f t="shared" si="28"/>
        <v>1.6013752076401082</v>
      </c>
      <c r="E467" s="62">
        <f t="shared" si="31"/>
        <v>1</v>
      </c>
    </row>
    <row r="468" spans="1:5" ht="12.75">
      <c r="A468" s="53">
        <v>45700</v>
      </c>
      <c r="B468" s="50">
        <f t="shared" si="29"/>
        <v>0.9912847785112999</v>
      </c>
      <c r="C468" s="51">
        <f t="shared" si="30"/>
        <v>2.3775000000000004</v>
      </c>
      <c r="D468" s="61">
        <f t="shared" si="28"/>
        <v>1.866436689271441</v>
      </c>
      <c r="E468" s="62">
        <f t="shared" si="31"/>
        <v>1</v>
      </c>
    </row>
    <row r="469" spans="1:5" ht="12.75">
      <c r="A469" s="53">
        <v>45800</v>
      </c>
      <c r="B469" s="50">
        <f t="shared" si="29"/>
        <v>0.9915528488188381</v>
      </c>
      <c r="C469" s="51">
        <f t="shared" si="30"/>
        <v>2.3889999999999896</v>
      </c>
      <c r="D469" s="61">
        <f t="shared" si="28"/>
        <v>0.7114585201420399</v>
      </c>
      <c r="E469" s="62">
        <f t="shared" si="31"/>
        <v>1</v>
      </c>
    </row>
    <row r="470" spans="1:5" ht="12.75">
      <c r="A470" s="53">
        <v>45900</v>
      </c>
      <c r="B470" s="50">
        <f t="shared" si="29"/>
        <v>0.9918136546244127</v>
      </c>
      <c r="C470" s="51">
        <f t="shared" si="30"/>
        <v>2.4004999999999974</v>
      </c>
      <c r="D470" s="61">
        <f t="shared" si="28"/>
        <v>1.3014207507332745</v>
      </c>
      <c r="E470" s="62">
        <f t="shared" si="31"/>
        <v>1</v>
      </c>
    </row>
    <row r="471" spans="1:5" ht="12.75">
      <c r="A471" s="53">
        <v>46000</v>
      </c>
      <c r="B471" s="50">
        <f t="shared" si="29"/>
        <v>0.992067359236231</v>
      </c>
      <c r="C471" s="51">
        <f t="shared" si="30"/>
        <v>2.4120000000000017</v>
      </c>
      <c r="D471" s="61">
        <f t="shared" si="28"/>
        <v>-0.5987766829098128</v>
      </c>
      <c r="E471" s="62">
        <f t="shared" si="31"/>
        <v>1</v>
      </c>
    </row>
    <row r="472" spans="1:5" ht="12.75">
      <c r="A472" s="53">
        <v>46100</v>
      </c>
      <c r="B472" s="50">
        <f t="shared" si="29"/>
        <v>0.9923141233685147</v>
      </c>
      <c r="C472" s="51">
        <f t="shared" si="30"/>
        <v>2.4234999999999918</v>
      </c>
      <c r="D472" s="61">
        <f t="shared" si="28"/>
        <v>-0.38758764349608765</v>
      </c>
      <c r="E472" s="62">
        <f t="shared" si="31"/>
        <v>1</v>
      </c>
    </row>
    <row r="473" spans="1:5" ht="12.75">
      <c r="A473" s="53">
        <v>46200</v>
      </c>
      <c r="B473" s="50">
        <f t="shared" si="29"/>
        <v>0.9925541051494077</v>
      </c>
      <c r="C473" s="51">
        <f t="shared" si="30"/>
        <v>2.4349999999999987</v>
      </c>
      <c r="D473" s="61">
        <f t="shared" si="28"/>
        <v>3.1702157739488803</v>
      </c>
      <c r="E473" s="62">
        <f t="shared" si="31"/>
        <v>0</v>
      </c>
    </row>
    <row r="474" spans="1:5" ht="12.75">
      <c r="A474" s="53">
        <v>46300</v>
      </c>
      <c r="B474" s="50">
        <f t="shared" si="29"/>
        <v>0.9927874601300187</v>
      </c>
      <c r="C474" s="51">
        <f t="shared" si="30"/>
        <v>2.4464999999999932</v>
      </c>
      <c r="D474" s="61">
        <f t="shared" si="28"/>
        <v>0.7674026505405495</v>
      </c>
      <c r="E474" s="62">
        <f t="shared" si="31"/>
        <v>1</v>
      </c>
    </row>
    <row r="475" spans="1:5" ht="12.75">
      <c r="A475" s="53">
        <v>46400</v>
      </c>
      <c r="B475" s="50">
        <f t="shared" si="29"/>
        <v>0.9930143412945605</v>
      </c>
      <c r="C475" s="51">
        <f t="shared" si="30"/>
        <v>2.45800000000001</v>
      </c>
      <c r="D475" s="61">
        <f t="shared" si="28"/>
        <v>3.5614473821284176</v>
      </c>
      <c r="E475" s="62">
        <f t="shared" si="31"/>
        <v>0</v>
      </c>
    </row>
    <row r="476" spans="1:5" ht="12.75">
      <c r="A476" s="53">
        <v>46500</v>
      </c>
      <c r="B476" s="50">
        <f t="shared" si="29"/>
        <v>0.9932348990715443</v>
      </c>
      <c r="C476" s="51">
        <f t="shared" si="30"/>
        <v>2.469499999999986</v>
      </c>
      <c r="D476" s="61">
        <f t="shared" si="28"/>
        <v>2.008774273041495</v>
      </c>
      <c r="E476" s="62">
        <f t="shared" si="31"/>
        <v>1</v>
      </c>
    </row>
    <row r="477" spans="1:5" ht="12.75">
      <c r="A477" s="53">
        <v>46600</v>
      </c>
      <c r="B477" s="50">
        <f t="shared" si="29"/>
        <v>0.9934492813460035</v>
      </c>
      <c r="C477" s="51">
        <f t="shared" si="30"/>
        <v>2.4809999999999928</v>
      </c>
      <c r="D477" s="61">
        <f t="shared" si="28"/>
        <v>0.455812946148465</v>
      </c>
      <c r="E477" s="62">
        <f t="shared" si="31"/>
        <v>1</v>
      </c>
    </row>
    <row r="478" spans="1:5" ht="12.75">
      <c r="A478" s="53">
        <v>46700</v>
      </c>
      <c r="B478" s="50">
        <f t="shared" si="29"/>
        <v>0.9936576334726948</v>
      </c>
      <c r="C478" s="51">
        <f t="shared" si="30"/>
        <v>2.4925000000000157</v>
      </c>
      <c r="D478" s="61">
        <f t="shared" si="28"/>
        <v>-0.8132508692276501</v>
      </c>
      <c r="E478" s="62">
        <f t="shared" si="31"/>
        <v>1</v>
      </c>
    </row>
    <row r="479" spans="1:5" ht="12.75">
      <c r="A479" s="53">
        <v>46800</v>
      </c>
      <c r="B479" s="50">
        <f t="shared" si="29"/>
        <v>0.9938600982902548</v>
      </c>
      <c r="C479" s="51">
        <f t="shared" si="30"/>
        <v>2.5039999999999987</v>
      </c>
      <c r="D479" s="61">
        <f t="shared" si="28"/>
        <v>0.66415048122613</v>
      </c>
      <c r="E479" s="62">
        <f t="shared" si="31"/>
        <v>1</v>
      </c>
    </row>
    <row r="480" spans="1:5" ht="12.75">
      <c r="A480" s="53">
        <v>46900</v>
      </c>
      <c r="B480" s="50">
        <f t="shared" si="29"/>
        <v>0.9940568161362713</v>
      </c>
      <c r="C480" s="51">
        <f t="shared" si="30"/>
        <v>2.5154999999999967</v>
      </c>
      <c r="D480" s="61">
        <f t="shared" si="28"/>
        <v>1.3457659765394467</v>
      </c>
      <c r="E480" s="62">
        <f t="shared" si="31"/>
        <v>1</v>
      </c>
    </row>
    <row r="481" spans="1:5" ht="12.75">
      <c r="A481" s="53">
        <v>47000</v>
      </c>
      <c r="B481" s="50">
        <f t="shared" si="29"/>
        <v>0.9942479248632279</v>
      </c>
      <c r="C481" s="51">
        <f t="shared" si="30"/>
        <v>2.5269999999999877</v>
      </c>
      <c r="D481" s="61">
        <f t="shared" si="28"/>
        <v>0.4257480554188602</v>
      </c>
      <c r="E481" s="62">
        <f t="shared" si="31"/>
        <v>1</v>
      </c>
    </row>
    <row r="482" spans="1:5" ht="12.75">
      <c r="A482" s="53">
        <v>47100</v>
      </c>
      <c r="B482" s="50">
        <f t="shared" si="29"/>
        <v>0.994433559855296</v>
      </c>
      <c r="C482" s="51">
        <f t="shared" si="30"/>
        <v>2.538499999999998</v>
      </c>
      <c r="D482" s="61">
        <f t="shared" si="28"/>
        <v>0.8852870748530243</v>
      </c>
      <c r="E482" s="62">
        <f t="shared" si="31"/>
        <v>1</v>
      </c>
    </row>
    <row r="483" spans="1:5" ht="12.75">
      <c r="A483" s="53">
        <v>47200</v>
      </c>
      <c r="B483" s="50">
        <f t="shared" si="29"/>
        <v>0.9946138540459334</v>
      </c>
      <c r="C483" s="51">
        <f t="shared" si="30"/>
        <v>2.5500000000000025</v>
      </c>
      <c r="D483" s="61">
        <f t="shared" si="28"/>
        <v>1.4549936926582843</v>
      </c>
      <c r="E483" s="62">
        <f t="shared" si="31"/>
        <v>1</v>
      </c>
    </row>
    <row r="484" spans="1:5" ht="12.75">
      <c r="A484" s="53">
        <v>47300</v>
      </c>
      <c r="B484" s="50">
        <f t="shared" si="29"/>
        <v>0.9947889379362562</v>
      </c>
      <c r="C484" s="51">
        <f t="shared" si="30"/>
        <v>2.5615000000000077</v>
      </c>
      <c r="D484" s="61">
        <f t="shared" si="28"/>
        <v>1.4473176313998004</v>
      </c>
      <c r="E484" s="62">
        <f t="shared" si="31"/>
        <v>1</v>
      </c>
    </row>
    <row r="485" spans="1:5" ht="12.75">
      <c r="A485" s="53">
        <v>47400</v>
      </c>
      <c r="B485" s="50">
        <f t="shared" si="29"/>
        <v>0.994958939614151</v>
      </c>
      <c r="C485" s="51">
        <f t="shared" si="30"/>
        <v>2.572999999999996</v>
      </c>
      <c r="D485" s="61">
        <f t="shared" si="28"/>
        <v>1.0251512705136152</v>
      </c>
      <c r="E485" s="62">
        <f t="shared" si="31"/>
        <v>1</v>
      </c>
    </row>
    <row r="486" spans="1:5" ht="12.75">
      <c r="A486" s="53">
        <v>47500</v>
      </c>
      <c r="B486" s="50">
        <f t="shared" si="29"/>
        <v>0.9951239847740925</v>
      </c>
      <c r="C486" s="51">
        <f t="shared" si="30"/>
        <v>2.5844999999999976</v>
      </c>
      <c r="D486" s="61">
        <f t="shared" si="28"/>
        <v>1.6571422628336034</v>
      </c>
      <c r="E486" s="62">
        <f t="shared" si="31"/>
        <v>1</v>
      </c>
    </row>
    <row r="487" spans="1:5" ht="12.75">
      <c r="A487" s="53">
        <v>47600</v>
      </c>
      <c r="B487" s="50">
        <f t="shared" si="29"/>
        <v>0.9952841967376315</v>
      </c>
      <c r="C487" s="51">
        <f t="shared" si="30"/>
        <v>2.5959999999999877</v>
      </c>
      <c r="D487" s="61">
        <f t="shared" si="28"/>
        <v>-0.2775542293631554</v>
      </c>
      <c r="E487" s="62">
        <f t="shared" si="31"/>
        <v>1</v>
      </c>
    </row>
    <row r="488" spans="1:5" ht="12.75">
      <c r="A488" s="53">
        <v>47700</v>
      </c>
      <c r="B488" s="50">
        <f t="shared" si="29"/>
        <v>0.995439696474527</v>
      </c>
      <c r="C488" s="51">
        <f t="shared" si="30"/>
        <v>2.607499999999999</v>
      </c>
      <c r="D488" s="61">
        <f t="shared" si="28"/>
        <v>2.270457968085056</v>
      </c>
      <c r="E488" s="62">
        <f t="shared" si="31"/>
        <v>1</v>
      </c>
    </row>
    <row r="489" spans="1:5" ht="12.75">
      <c r="A489" s="53">
        <v>47800</v>
      </c>
      <c r="B489" s="50">
        <f t="shared" si="29"/>
        <v>0.9955906026244795</v>
      </c>
      <c r="C489" s="51">
        <f t="shared" si="30"/>
        <v>2.618999999999996</v>
      </c>
      <c r="D489" s="61">
        <f t="shared" si="28"/>
        <v>1.5282673534946134</v>
      </c>
      <c r="E489" s="62">
        <f t="shared" si="31"/>
        <v>1</v>
      </c>
    </row>
    <row r="490" spans="1:5" ht="12.75">
      <c r="A490" s="53">
        <v>47900</v>
      </c>
      <c r="B490" s="50">
        <f t="shared" si="29"/>
        <v>0.9957370315194427</v>
      </c>
      <c r="C490" s="51">
        <f t="shared" si="30"/>
        <v>2.6305000000000023</v>
      </c>
      <c r="D490" s="61">
        <f t="shared" si="28"/>
        <v>-0.04196482413525682</v>
      </c>
      <c r="E490" s="62">
        <f t="shared" si="31"/>
        <v>1</v>
      </c>
    </row>
    <row r="491" spans="1:5" ht="12.75">
      <c r="A491" s="53">
        <v>48000</v>
      </c>
      <c r="B491" s="50">
        <f t="shared" si="29"/>
        <v>0.9958790972064784</v>
      </c>
      <c r="C491" s="51">
        <f t="shared" si="30"/>
        <v>2.6419999999999986</v>
      </c>
      <c r="D491" s="61">
        <f t="shared" si="28"/>
        <v>1.6711965529613624</v>
      </c>
      <c r="E491" s="62">
        <f t="shared" si="31"/>
        <v>1</v>
      </c>
    </row>
    <row r="492" spans="1:5" ht="12.75">
      <c r="A492" s="53">
        <v>48100</v>
      </c>
      <c r="B492" s="50">
        <f t="shared" si="29"/>
        <v>0.9960169114711235</v>
      </c>
      <c r="C492" s="51">
        <f t="shared" si="30"/>
        <v>2.6534999999999815</v>
      </c>
      <c r="D492" s="61">
        <f t="shared" si="28"/>
        <v>1.9938506877163527</v>
      </c>
      <c r="E492" s="62">
        <f t="shared" si="31"/>
        <v>1</v>
      </c>
    </row>
    <row r="493" spans="1:5" ht="12.75">
      <c r="A493" s="53">
        <v>48200</v>
      </c>
      <c r="B493" s="50">
        <f t="shared" si="29"/>
        <v>0.9961505838612388</v>
      </c>
      <c r="C493" s="51">
        <f t="shared" si="30"/>
        <v>2.6649999999999974</v>
      </c>
      <c r="D493" s="61">
        <f t="shared" si="28"/>
        <v>1.8630765174424917</v>
      </c>
      <c r="E493" s="62">
        <f t="shared" si="31"/>
        <v>1</v>
      </c>
    </row>
    <row r="494" spans="1:5" ht="12.75">
      <c r="A494" s="53">
        <v>48300</v>
      </c>
      <c r="B494" s="50">
        <f t="shared" si="29"/>
        <v>0.9962802217113094</v>
      </c>
      <c r="C494" s="51">
        <f t="shared" si="30"/>
        <v>2.676500000000015</v>
      </c>
      <c r="D494" s="61">
        <f t="shared" si="28"/>
        <v>1.3059369781098566</v>
      </c>
      <c r="E494" s="62">
        <f t="shared" si="31"/>
        <v>1</v>
      </c>
    </row>
    <row r="495" spans="1:5" ht="12.75">
      <c r="A495" s="53">
        <v>48400</v>
      </c>
      <c r="B495" s="50">
        <f t="shared" si="29"/>
        <v>0.9964059301671693</v>
      </c>
      <c r="C495" s="51">
        <f t="shared" si="30"/>
        <v>2.687999999999998</v>
      </c>
      <c r="D495" s="61">
        <f t="shared" si="28"/>
        <v>-0.3514121991548909</v>
      </c>
      <c r="E495" s="62">
        <f t="shared" si="31"/>
        <v>1</v>
      </c>
    </row>
    <row r="496" spans="1:5" ht="12.75">
      <c r="A496" s="53">
        <v>48500</v>
      </c>
      <c r="B496" s="50">
        <f t="shared" si="29"/>
        <v>0.9965278122111206</v>
      </c>
      <c r="C496" s="51">
        <f t="shared" si="30"/>
        <v>2.6994999999999987</v>
      </c>
      <c r="D496" s="61">
        <f t="shared" si="28"/>
        <v>2.0303410822260655</v>
      </c>
      <c r="E496" s="62">
        <f t="shared" si="31"/>
        <v>1</v>
      </c>
    </row>
    <row r="497" spans="1:5" ht="12.75">
      <c r="A497" s="53">
        <v>48600</v>
      </c>
      <c r="B497" s="50">
        <f t="shared" si="29"/>
        <v>0.9966459686874148</v>
      </c>
      <c r="C497" s="51">
        <f t="shared" si="30"/>
        <v>2.710999999999995</v>
      </c>
      <c r="D497" s="61">
        <f t="shared" si="28"/>
        <v>1.078821684657974</v>
      </c>
      <c r="E497" s="62">
        <f t="shared" si="31"/>
        <v>1</v>
      </c>
    </row>
    <row r="498" spans="1:5" ht="12.75">
      <c r="A498" s="53">
        <v>48700</v>
      </c>
      <c r="B498" s="50">
        <f t="shared" si="29"/>
        <v>0.9967604983280742</v>
      </c>
      <c r="C498" s="51">
        <f t="shared" si="30"/>
        <v>2.7224999999999717</v>
      </c>
      <c r="D498" s="61">
        <f t="shared" si="28"/>
        <v>0.4402884689722526</v>
      </c>
      <c r="E498" s="62">
        <f t="shared" si="31"/>
        <v>1</v>
      </c>
    </row>
    <row r="499" spans="1:5" ht="12.75">
      <c r="A499" s="53">
        <v>48800</v>
      </c>
      <c r="B499" s="50">
        <f t="shared" si="29"/>
        <v>0.9968714977790266</v>
      </c>
      <c r="C499" s="51">
        <f t="shared" si="30"/>
        <v>2.7339999999999787</v>
      </c>
      <c r="D499" s="61">
        <f t="shared" si="28"/>
        <v>0.5661336213564855</v>
      </c>
      <c r="E499" s="62">
        <f t="shared" si="31"/>
        <v>1</v>
      </c>
    </row>
    <row r="500" spans="1:5" ht="12.75">
      <c r="A500" s="53">
        <v>48900</v>
      </c>
      <c r="B500" s="50">
        <f t="shared" si="29"/>
        <v>0.9969790616265188</v>
      </c>
      <c r="C500" s="51">
        <f t="shared" si="30"/>
        <v>2.745499999999983</v>
      </c>
      <c r="D500" s="61">
        <f t="shared" si="28"/>
        <v>0.5976002441079151</v>
      </c>
      <c r="E500" s="62">
        <f t="shared" si="31"/>
        <v>1</v>
      </c>
    </row>
    <row r="501" spans="1:5" ht="12.75">
      <c r="A501" s="53">
        <v>49000</v>
      </c>
      <c r="B501" s="50">
        <f t="shared" si="29"/>
        <v>0.9970832824237946</v>
      </c>
      <c r="C501" s="51">
        <f t="shared" si="30"/>
        <v>2.7570000000000228</v>
      </c>
      <c r="D501" s="61">
        <f t="shared" si="28"/>
        <v>0.42668536216982145</v>
      </c>
      <c r="E501" s="62">
        <f t="shared" si="31"/>
        <v>1</v>
      </c>
    </row>
    <row r="502" spans="1:5" ht="12.75">
      <c r="A502" s="53">
        <v>49100</v>
      </c>
      <c r="B502" s="50">
        <f t="shared" si="29"/>
        <v>0.9971842507179991</v>
      </c>
      <c r="C502" s="51">
        <f t="shared" si="30"/>
        <v>2.7684999999999826</v>
      </c>
      <c r="D502" s="61">
        <f t="shared" si="28"/>
        <v>-0.6776286360798949</v>
      </c>
      <c r="E502" s="62">
        <f t="shared" si="31"/>
        <v>1</v>
      </c>
    </row>
    <row r="503" spans="1:5" ht="12.75">
      <c r="A503" s="53">
        <v>49200</v>
      </c>
      <c r="B503" s="50">
        <f t="shared" si="29"/>
        <v>0.9972820550772985</v>
      </c>
      <c r="C503" s="51">
        <f t="shared" si="30"/>
        <v>2.779999999999947</v>
      </c>
      <c r="D503" s="61">
        <f t="shared" si="28"/>
        <v>0.10332865136807111</v>
      </c>
      <c r="E503" s="62">
        <f t="shared" si="31"/>
        <v>1</v>
      </c>
    </row>
    <row r="504" spans="1:5" ht="12.75">
      <c r="A504" s="53">
        <v>49300</v>
      </c>
      <c r="B504" s="50">
        <f t="shared" si="29"/>
        <v>0.9973767821181793</v>
      </c>
      <c r="C504" s="51">
        <f t="shared" si="30"/>
        <v>2.7915000000000134</v>
      </c>
      <c r="D504" s="61">
        <f t="shared" si="28"/>
        <v>1.594717268567403</v>
      </c>
      <c r="E504" s="62">
        <f t="shared" si="31"/>
        <v>1</v>
      </c>
    </row>
    <row r="505" spans="1:5" ht="12.75">
      <c r="A505" s="53">
        <v>49400</v>
      </c>
      <c r="B505" s="50">
        <f t="shared" si="29"/>
        <v>0.9974685165329071</v>
      </c>
      <c r="C505" s="51">
        <f t="shared" si="30"/>
        <v>2.803</v>
      </c>
      <c r="D505" s="61">
        <f t="shared" si="28"/>
        <v>-0.13541840610415892</v>
      </c>
      <c r="E505" s="62">
        <f t="shared" si="31"/>
        <v>1</v>
      </c>
    </row>
    <row r="506" spans="1:5" ht="12.75">
      <c r="A506" s="53">
        <v>49500</v>
      </c>
      <c r="B506" s="50">
        <f t="shared" si="29"/>
        <v>0.9975573411171282</v>
      </c>
      <c r="C506" s="51">
        <f t="shared" si="30"/>
        <v>2.81449999999996</v>
      </c>
      <c r="D506" s="61">
        <f t="shared" si="28"/>
        <v>1.546788288086449</v>
      </c>
      <c r="E506" s="62">
        <f t="shared" si="31"/>
        <v>1</v>
      </c>
    </row>
    <row r="507" spans="1:5" ht="12.75">
      <c r="A507" s="53">
        <v>49600</v>
      </c>
      <c r="B507" s="50">
        <f t="shared" si="29"/>
        <v>0.997643336797583</v>
      </c>
      <c r="C507" s="51">
        <f t="shared" si="30"/>
        <v>2.8259999999999836</v>
      </c>
      <c r="D507" s="61">
        <f t="shared" si="28"/>
        <v>-0.5319837417808556</v>
      </c>
      <c r="E507" s="62">
        <f t="shared" si="31"/>
        <v>1</v>
      </c>
    </row>
    <row r="508" spans="1:5" ht="12.75">
      <c r="A508" s="53">
        <v>49700</v>
      </c>
      <c r="B508" s="50">
        <f t="shared" si="29"/>
        <v>0.9977265826599129</v>
      </c>
      <c r="C508" s="51">
        <f t="shared" si="30"/>
        <v>2.8374999999999995</v>
      </c>
      <c r="D508" s="61">
        <f t="shared" si="28"/>
        <v>0.6116131171290116</v>
      </c>
      <c r="E508" s="62">
        <f t="shared" si="31"/>
        <v>1</v>
      </c>
    </row>
    <row r="509" spans="1:5" ht="12.75">
      <c r="A509" s="53">
        <v>49800</v>
      </c>
      <c r="B509" s="50">
        <f t="shared" si="29"/>
        <v>0.9978071559765409</v>
      </c>
      <c r="C509" s="51">
        <f t="shared" si="30"/>
        <v>2.848999999999993</v>
      </c>
      <c r="D509" s="61">
        <f t="shared" si="28"/>
        <v>1.6928624377486585</v>
      </c>
      <c r="E509" s="62">
        <f t="shared" si="31"/>
        <v>1</v>
      </c>
    </row>
    <row r="510" spans="1:5" ht="12.75">
      <c r="A510" s="53">
        <v>49900</v>
      </c>
      <c r="B510" s="50">
        <f t="shared" si="29"/>
        <v>0.9978851322346052</v>
      </c>
      <c r="C510" s="51">
        <f t="shared" si="30"/>
        <v>2.8604999999999574</v>
      </c>
      <c r="D510" s="61">
        <f t="shared" si="28"/>
        <v>1.8905529452438983</v>
      </c>
      <c r="E510" s="62">
        <f t="shared" si="31"/>
        <v>1</v>
      </c>
    </row>
    <row r="511" spans="1:5" ht="12.75">
      <c r="A511" s="63"/>
      <c r="B511" s="64"/>
      <c r="C511" s="64"/>
      <c r="D511" s="50"/>
      <c r="E511" s="51"/>
    </row>
    <row r="521" spans="1:5" ht="12.75">
      <c r="A521" s="63"/>
      <c r="B521" s="64"/>
      <c r="C521" s="64"/>
      <c r="D521" s="50"/>
      <c r="E521" s="51"/>
    </row>
    <row r="531" spans="1:5" ht="12.75">
      <c r="A531" s="63"/>
      <c r="B531" s="64"/>
      <c r="C531" s="64"/>
      <c r="D531" s="50"/>
      <c r="E531" s="51"/>
    </row>
    <row r="541" spans="1:5" ht="12.75">
      <c r="A541" s="63"/>
      <c r="B541" s="64"/>
      <c r="C541" s="64"/>
      <c r="D541" s="50"/>
      <c r="E541" s="51"/>
    </row>
    <row r="551" spans="1:5" ht="12.75">
      <c r="A551" s="63"/>
      <c r="B551" s="64"/>
      <c r="C551" s="64"/>
      <c r="D551" s="50"/>
      <c r="E551" s="51"/>
    </row>
    <row r="561" spans="1:5" ht="12.75">
      <c r="A561" s="63"/>
      <c r="B561" s="64"/>
      <c r="C561" s="64"/>
      <c r="D561" s="50"/>
      <c r="E561" s="51"/>
    </row>
    <row r="571" spans="1:5" ht="12.75">
      <c r="A571" s="63"/>
      <c r="B571" s="64"/>
      <c r="C571" s="64"/>
      <c r="D571" s="50"/>
      <c r="E571" s="51"/>
    </row>
    <row r="581" spans="1:5" ht="12.75">
      <c r="A581" s="63"/>
      <c r="B581" s="64"/>
      <c r="C581" s="64"/>
      <c r="D581" s="50"/>
      <c r="E581" s="51"/>
    </row>
    <row r="591" spans="1:5" ht="12.75">
      <c r="A591" s="63"/>
      <c r="B591" s="64"/>
      <c r="C591" s="64"/>
      <c r="D591" s="50"/>
      <c r="E591" s="51"/>
    </row>
    <row r="601" spans="1:5" ht="12.75">
      <c r="A601" s="63"/>
      <c r="B601" s="64"/>
      <c r="C601" s="64"/>
      <c r="D601" s="50"/>
      <c r="E601" s="51"/>
    </row>
    <row r="611" spans="1:5" ht="12.75">
      <c r="A611" s="63"/>
      <c r="B611" s="64"/>
      <c r="C611" s="64"/>
      <c r="D611" s="50"/>
      <c r="E611" s="51"/>
    </row>
    <row r="621" spans="1:5" ht="12.75">
      <c r="A621" s="63"/>
      <c r="B621" s="64"/>
      <c r="C621" s="64"/>
      <c r="D621" s="50"/>
      <c r="E621" s="51"/>
    </row>
    <row r="631" spans="1:5" ht="12.75">
      <c r="A631" s="63"/>
      <c r="B631" s="64"/>
      <c r="C631" s="64"/>
      <c r="D631" s="50"/>
      <c r="E631" s="51"/>
    </row>
    <row r="641" spans="1:5" ht="12.75">
      <c r="A641" s="63"/>
      <c r="B641" s="64"/>
      <c r="C641" s="64"/>
      <c r="D641" s="50"/>
      <c r="E641" s="51"/>
    </row>
    <row r="651" spans="1:5" ht="12.75">
      <c r="A651" s="63"/>
      <c r="B651" s="64"/>
      <c r="C651" s="64"/>
      <c r="D651" s="50"/>
      <c r="E651" s="51"/>
    </row>
    <row r="661" spans="1:5" ht="12.75">
      <c r="A661" s="63"/>
      <c r="B661" s="64"/>
      <c r="C661" s="64"/>
      <c r="D661" s="50"/>
      <c r="E661" s="51"/>
    </row>
    <row r="671" spans="1:5" ht="12.75">
      <c r="A671" s="63"/>
      <c r="B671" s="64"/>
      <c r="C671" s="64"/>
      <c r="D671" s="50"/>
      <c r="E671" s="51"/>
    </row>
    <row r="681" spans="1:5" ht="12.75">
      <c r="A681" s="63"/>
      <c r="B681" s="64"/>
      <c r="C681" s="64"/>
      <c r="D681" s="50"/>
      <c r="E681" s="51"/>
    </row>
    <row r="691" spans="1:5" ht="12.75">
      <c r="A691" s="63"/>
      <c r="B691" s="64"/>
      <c r="C691" s="64"/>
      <c r="D691" s="50"/>
      <c r="E691" s="51"/>
    </row>
    <row r="701" spans="1:5" ht="12.75">
      <c r="A701" s="63"/>
      <c r="B701" s="64"/>
      <c r="C701" s="64"/>
      <c r="D701" s="50"/>
      <c r="E701" s="51"/>
    </row>
    <row r="711" spans="1:5" ht="12.75">
      <c r="A711" s="63"/>
      <c r="B711" s="64"/>
      <c r="C711" s="64"/>
      <c r="D711" s="50"/>
      <c r="E711" s="51"/>
    </row>
    <row r="721" spans="1:5" ht="12.75">
      <c r="A721" s="63"/>
      <c r="B721" s="64"/>
      <c r="C721" s="64"/>
      <c r="D721" s="50"/>
      <c r="E721" s="51"/>
    </row>
    <row r="731" spans="1:5" ht="12.75">
      <c r="A731" s="63"/>
      <c r="B731" s="64"/>
      <c r="C731" s="64"/>
      <c r="D731" s="50"/>
      <c r="E731" s="51"/>
    </row>
    <row r="741" spans="1:5" ht="12.75">
      <c r="A741" s="63"/>
      <c r="B741" s="64"/>
      <c r="C741" s="64"/>
      <c r="D741" s="50"/>
      <c r="E741" s="51"/>
    </row>
    <row r="751" spans="1:5" ht="12.75">
      <c r="A751" s="63"/>
      <c r="B751" s="64"/>
      <c r="C751" s="64"/>
      <c r="D751" s="50"/>
      <c r="E751" s="51"/>
    </row>
    <row r="761" spans="1:5" ht="12.75">
      <c r="A761" s="63"/>
      <c r="B761" s="64"/>
      <c r="C761" s="64"/>
      <c r="D761" s="50"/>
      <c r="E761" s="51"/>
    </row>
    <row r="771" spans="1:5" ht="12.75">
      <c r="A771" s="63"/>
      <c r="B771" s="64"/>
      <c r="C771" s="64"/>
      <c r="D771" s="50"/>
      <c r="E771" s="51"/>
    </row>
    <row r="781" spans="1:5" ht="12.75">
      <c r="A781" s="63"/>
      <c r="B781" s="64"/>
      <c r="C781" s="64"/>
      <c r="D781" s="50"/>
      <c r="E781" s="51"/>
    </row>
    <row r="791" spans="1:5" ht="12.75">
      <c r="A791" s="63"/>
      <c r="B791" s="64"/>
      <c r="C791" s="64"/>
      <c r="D791" s="50"/>
      <c r="E791" s="51"/>
    </row>
    <row r="801" spans="1:5" ht="12.75">
      <c r="A801" s="63"/>
      <c r="B801" s="64"/>
      <c r="C801" s="64"/>
      <c r="D801" s="50"/>
      <c r="E801" s="51"/>
    </row>
    <row r="811" spans="1:5" ht="12.75">
      <c r="A811" s="63"/>
      <c r="B811" s="64"/>
      <c r="C811" s="64"/>
      <c r="D811" s="50"/>
      <c r="E811" s="51"/>
    </row>
    <row r="821" spans="1:5" ht="12.75">
      <c r="A821" s="63"/>
      <c r="B821" s="64"/>
      <c r="C821" s="64"/>
      <c r="D821" s="50"/>
      <c r="E821" s="51"/>
    </row>
    <row r="831" spans="1:5" ht="12.75">
      <c r="A831" s="63"/>
      <c r="B831" s="64"/>
      <c r="C831" s="64"/>
      <c r="D831" s="50"/>
      <c r="E831" s="51"/>
    </row>
    <row r="841" spans="1:5" ht="12.75">
      <c r="A841" s="63"/>
      <c r="B841" s="64"/>
      <c r="C841" s="64"/>
      <c r="D841" s="50"/>
      <c r="E841" s="51"/>
    </row>
    <row r="851" spans="1:5" ht="12.75">
      <c r="A851" s="63"/>
      <c r="B851" s="64"/>
      <c r="C851" s="64"/>
      <c r="D851" s="50"/>
      <c r="E851" s="51"/>
    </row>
    <row r="861" spans="1:5" ht="12.75">
      <c r="A861" s="63"/>
      <c r="B861" s="64"/>
      <c r="C861" s="64"/>
      <c r="D861" s="50"/>
      <c r="E861" s="51"/>
    </row>
    <row r="871" spans="1:5" ht="12.75">
      <c r="A871" s="63"/>
      <c r="B871" s="64"/>
      <c r="C871" s="64"/>
      <c r="D871" s="50"/>
      <c r="E871" s="51"/>
    </row>
    <row r="881" spans="1:5" ht="12.75">
      <c r="A881" s="63"/>
      <c r="B881" s="64"/>
      <c r="C881" s="64"/>
      <c r="D881" s="50"/>
      <c r="E881" s="51"/>
    </row>
    <row r="891" spans="1:5" ht="12.75">
      <c r="A891" s="63"/>
      <c r="B891" s="64"/>
      <c r="C891" s="64"/>
      <c r="D891" s="50"/>
      <c r="E891" s="51"/>
    </row>
    <row r="901" spans="1:5" ht="12.75">
      <c r="A901" s="63"/>
      <c r="B901" s="64"/>
      <c r="C901" s="64"/>
      <c r="D901" s="50"/>
      <c r="E901" s="51"/>
    </row>
    <row r="911" spans="1:5" ht="12.75">
      <c r="A911" s="63"/>
      <c r="B911" s="64"/>
      <c r="C911" s="64"/>
      <c r="D911" s="50"/>
      <c r="E911" s="51"/>
    </row>
    <row r="921" spans="1:5" ht="12.75">
      <c r="A921" s="63"/>
      <c r="B921" s="64"/>
      <c r="C921" s="64"/>
      <c r="D921" s="50"/>
      <c r="E921" s="51"/>
    </row>
    <row r="931" spans="1:5" ht="12.75">
      <c r="A931" s="63"/>
      <c r="B931" s="64"/>
      <c r="C931" s="64"/>
      <c r="D931" s="50"/>
      <c r="E931" s="51"/>
    </row>
    <row r="941" spans="1:5" ht="12.75">
      <c r="A941" s="63"/>
      <c r="B941" s="64"/>
      <c r="C941" s="64"/>
      <c r="D941" s="50"/>
      <c r="E941" s="51"/>
    </row>
    <row r="951" spans="1:5" ht="12.75">
      <c r="A951" s="63"/>
      <c r="B951" s="64"/>
      <c r="C951" s="64"/>
      <c r="D951" s="50"/>
      <c r="E951" s="51"/>
    </row>
    <row r="961" spans="1:5" ht="12.75">
      <c r="A961" s="63"/>
      <c r="B961" s="64"/>
      <c r="C961" s="64"/>
      <c r="D961" s="50"/>
      <c r="E961" s="51"/>
    </row>
    <row r="971" spans="1:5" ht="12.75">
      <c r="A971" s="63"/>
      <c r="B971" s="64"/>
      <c r="C971" s="64"/>
      <c r="D971" s="50"/>
      <c r="E971" s="51"/>
    </row>
    <row r="981" spans="1:5" ht="12.75">
      <c r="A981" s="63"/>
      <c r="B981" s="64"/>
      <c r="C981" s="64"/>
      <c r="D981" s="50"/>
      <c r="E981" s="51"/>
    </row>
    <row r="991" spans="1:5" ht="12.75">
      <c r="A991" s="63"/>
      <c r="B991" s="64"/>
      <c r="C991" s="64"/>
      <c r="D991" s="50"/>
      <c r="E991" s="51"/>
    </row>
    <row r="1001" spans="1:5" ht="12.75">
      <c r="A1001" s="63"/>
      <c r="B1001" s="64"/>
      <c r="C1001" s="64"/>
      <c r="D1001" s="50"/>
      <c r="E1001" s="51"/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8515625" style="0" customWidth="1"/>
    <col min="4" max="4" width="9.7109375" style="0" customWidth="1"/>
  </cols>
  <sheetData>
    <row r="1" ht="12.75">
      <c r="A1" t="s">
        <v>54</v>
      </c>
    </row>
    <row r="2" ht="12.75">
      <c r="A2" t="s">
        <v>55</v>
      </c>
    </row>
    <row r="3" ht="13.5" thickBot="1">
      <c r="A3" t="s">
        <v>56</v>
      </c>
    </row>
    <row r="4" spans="1:5" ht="14.25">
      <c r="A4" s="59" t="s">
        <v>20</v>
      </c>
      <c r="B4" s="24">
        <v>-2.878</v>
      </c>
      <c r="E4" s="70" t="s">
        <v>53</v>
      </c>
    </row>
    <row r="5" spans="1:5" ht="14.25" thickBot="1">
      <c r="A5" s="60" t="s">
        <v>8</v>
      </c>
      <c r="B5" s="26">
        <v>0.000115</v>
      </c>
      <c r="E5" s="31"/>
    </row>
    <row r="6" ht="12.75">
      <c r="E6" s="31"/>
    </row>
    <row r="7" ht="12.75">
      <c r="E7" s="31"/>
    </row>
    <row r="8" spans="1:5" ht="12.75">
      <c r="A8" s="23"/>
      <c r="B8" s="29"/>
      <c r="C8" s="29"/>
      <c r="D8" s="33"/>
      <c r="E8" s="31"/>
    </row>
    <row r="9" spans="1:5" ht="12.75">
      <c r="A9" s="23"/>
      <c r="B9" s="29"/>
      <c r="C9" s="29"/>
      <c r="D9" s="34"/>
      <c r="E9" s="31"/>
    </row>
    <row r="10" spans="1:5" ht="39" thickBot="1">
      <c r="A10" s="52" t="s">
        <v>21</v>
      </c>
      <c r="B10" s="28" t="s">
        <v>57</v>
      </c>
      <c r="C10" s="32" t="s">
        <v>6</v>
      </c>
      <c r="D10" s="56" t="s">
        <v>33</v>
      </c>
      <c r="E10" s="54" t="s">
        <v>52</v>
      </c>
    </row>
    <row r="11" spans="1:5" ht="12.75">
      <c r="A11" s="53">
        <v>0</v>
      </c>
      <c r="B11" s="50">
        <f>NORMDIST($B$4+$B$5*A11,0,1,1)</f>
        <v>0.0020010256958336026</v>
      </c>
      <c r="C11" s="51">
        <f>NORMINV(B11,0,1)</f>
        <v>-2.878000000000018</v>
      </c>
      <c r="D11">
        <v>1.6107157981566478</v>
      </c>
      <c r="E11">
        <v>0</v>
      </c>
    </row>
    <row r="12" spans="1:5" ht="12.75">
      <c r="A12" s="53">
        <v>500</v>
      </c>
      <c r="B12" s="50">
        <f aca="true" t="shared" si="0" ref="B12:B75">NORMDIST($B$4+$B$5*A12,0,1,1)</f>
        <v>0.0023974436745554106</v>
      </c>
      <c r="C12" s="51">
        <f aca="true" t="shared" si="1" ref="C12:C75">NORMINV(B12,0,1)</f>
        <v>-2.8204999999999893</v>
      </c>
      <c r="D12">
        <v>0.061960332958348435</v>
      </c>
      <c r="E12">
        <v>0</v>
      </c>
    </row>
    <row r="13" spans="1:5" ht="12.75">
      <c r="A13" s="53">
        <v>1000</v>
      </c>
      <c r="B13" s="50">
        <f t="shared" si="0"/>
        <v>0.002863638322935236</v>
      </c>
      <c r="C13" s="51">
        <f t="shared" si="1"/>
        <v>-2.7629999999999884</v>
      </c>
      <c r="D13">
        <v>-0.42396859718128094</v>
      </c>
      <c r="E13">
        <v>0</v>
      </c>
    </row>
    <row r="14" spans="1:5" ht="12.75">
      <c r="A14" s="53">
        <v>1500</v>
      </c>
      <c r="B14" s="50">
        <f t="shared" si="0"/>
        <v>0.0034100824135010477</v>
      </c>
      <c r="C14" s="51">
        <f t="shared" si="1"/>
        <v>-2.7055000000000256</v>
      </c>
      <c r="D14">
        <v>0.6283936757589839</v>
      </c>
      <c r="E14">
        <v>0</v>
      </c>
    </row>
    <row r="15" spans="1:5" ht="12.75">
      <c r="A15" s="53">
        <v>2000</v>
      </c>
      <c r="B15" s="50">
        <f t="shared" si="0"/>
        <v>0.004048476260604561</v>
      </c>
      <c r="C15" s="51">
        <f t="shared" si="1"/>
        <v>-2.6480000000000095</v>
      </c>
      <c r="D15">
        <v>1.483690070039956</v>
      </c>
      <c r="E15">
        <v>0</v>
      </c>
    </row>
    <row r="16" spans="1:5" ht="12.75">
      <c r="A16" s="53">
        <v>2500</v>
      </c>
      <c r="B16" s="50">
        <f t="shared" si="0"/>
        <v>0.004791831078310382</v>
      </c>
      <c r="C16" s="51">
        <f t="shared" si="1"/>
        <v>-2.5905000000000147</v>
      </c>
      <c r="D16">
        <v>0.5507505408878824</v>
      </c>
      <c r="E16">
        <v>0</v>
      </c>
    </row>
    <row r="17" spans="1:5" ht="12.75">
      <c r="A17" s="53">
        <v>3000</v>
      </c>
      <c r="B17" s="50">
        <f t="shared" si="0"/>
        <v>0.005654547643910268</v>
      </c>
      <c r="C17" s="51">
        <f t="shared" si="1"/>
        <v>-2.532999999999994</v>
      </c>
      <c r="D17">
        <v>1.132365196649908</v>
      </c>
      <c r="E17">
        <v>0</v>
      </c>
    </row>
    <row r="18" spans="1:5" ht="12.75">
      <c r="A18" s="53">
        <v>3500</v>
      </c>
      <c r="B18" s="50">
        <f t="shared" si="0"/>
        <v>0.006652488086350994</v>
      </c>
      <c r="C18" s="51">
        <f t="shared" si="1"/>
        <v>-2.475500000000009</v>
      </c>
      <c r="D18">
        <v>-0.6541662533735352</v>
      </c>
      <c r="E18">
        <v>0</v>
      </c>
    </row>
    <row r="19" spans="1:5" ht="12.75">
      <c r="A19" s="53">
        <v>4000</v>
      </c>
      <c r="B19" s="50">
        <f t="shared" si="0"/>
        <v>0.00780303840769736</v>
      </c>
      <c r="C19" s="51">
        <f t="shared" si="1"/>
        <v>-2.418</v>
      </c>
      <c r="D19">
        <v>-0.31235247745631156</v>
      </c>
      <c r="E19">
        <v>0</v>
      </c>
    </row>
    <row r="20" spans="1:5" ht="12.75">
      <c r="A20" s="53">
        <v>4500</v>
      </c>
      <c r="B20" s="50">
        <f t="shared" si="0"/>
        <v>0.009125159159799168</v>
      </c>
      <c r="C20" s="51">
        <f t="shared" si="1"/>
        <v>-2.360500000000015</v>
      </c>
      <c r="D20">
        <v>-0.7653498272550531</v>
      </c>
      <c r="E20">
        <v>0</v>
      </c>
    </row>
    <row r="21" spans="1:5" ht="12.75">
      <c r="A21" s="53">
        <v>5000</v>
      </c>
      <c r="B21" s="50">
        <f t="shared" si="0"/>
        <v>0.010639421546941752</v>
      </c>
      <c r="C21" s="51">
        <f t="shared" si="1"/>
        <v>-2.3030000000000026</v>
      </c>
      <c r="D21">
        <v>-0.4916067645476559</v>
      </c>
      <c r="E21">
        <v>0</v>
      </c>
    </row>
    <row r="22" spans="1:5" ht="12.75">
      <c r="A22" s="53">
        <v>5500</v>
      </c>
      <c r="B22" s="50">
        <f t="shared" si="0"/>
        <v>0.012368026118076303</v>
      </c>
      <c r="C22" s="51">
        <f t="shared" si="1"/>
        <v>-2.245499999999997</v>
      </c>
      <c r="D22">
        <v>-0.7092917024883946</v>
      </c>
      <c r="E22">
        <v>0</v>
      </c>
    </row>
    <row r="23" spans="1:5" ht="12.75">
      <c r="A23" s="53">
        <v>6000</v>
      </c>
      <c r="B23" s="50">
        <f t="shared" si="0"/>
        <v>0.014334801159097799</v>
      </c>
      <c r="C23" s="51">
        <f t="shared" si="1"/>
        <v>-2.1880000000000024</v>
      </c>
      <c r="D23">
        <v>0.5607154057238881</v>
      </c>
      <c r="E23">
        <v>0</v>
      </c>
    </row>
    <row r="24" spans="1:5" ht="12.75">
      <c r="A24" s="53">
        <v>6500</v>
      </c>
      <c r="B24" s="50">
        <f t="shared" si="0"/>
        <v>0.01656517790602563</v>
      </c>
      <c r="C24" s="51">
        <f t="shared" si="1"/>
        <v>-2.130499999999998</v>
      </c>
      <c r="D24">
        <v>-0.10834488272105455</v>
      </c>
      <c r="E24">
        <v>0</v>
      </c>
    </row>
    <row r="25" spans="1:5" ht="12.75">
      <c r="A25" s="53">
        <v>7000</v>
      </c>
      <c r="B25" s="50">
        <f t="shared" si="0"/>
        <v>0.019086139782818035</v>
      </c>
      <c r="C25" s="51">
        <f t="shared" si="1"/>
        <v>-2.0730000000000004</v>
      </c>
      <c r="D25">
        <v>-0.2948914683947214</v>
      </c>
      <c r="E25">
        <v>0</v>
      </c>
    </row>
    <row r="26" spans="1:5" ht="12.75">
      <c r="A26" s="53">
        <v>7500</v>
      </c>
      <c r="B26" s="50">
        <f t="shared" si="0"/>
        <v>0.021926143030815082</v>
      </c>
      <c r="C26" s="51">
        <f t="shared" si="1"/>
        <v>-2.015500000000001</v>
      </c>
      <c r="D26">
        <v>-0.25187366007786033</v>
      </c>
      <c r="E26">
        <v>0</v>
      </c>
    </row>
    <row r="27" spans="1:5" ht="12.75">
      <c r="A27" s="53">
        <v>8000</v>
      </c>
      <c r="B27" s="50">
        <f t="shared" si="0"/>
        <v>0.025115006346874358</v>
      </c>
      <c r="C27" s="51">
        <f t="shared" si="1"/>
        <v>-1.9580000000000015</v>
      </c>
      <c r="D27">
        <v>-0.3131523075676868</v>
      </c>
      <c r="E27">
        <v>0</v>
      </c>
    </row>
    <row r="28" spans="1:5" ht="12.75">
      <c r="A28" s="53">
        <v>8500</v>
      </c>
      <c r="B28" s="50">
        <f t="shared" si="0"/>
        <v>0.02868376748880297</v>
      </c>
      <c r="C28" s="51">
        <f t="shared" si="1"/>
        <v>-1.9004999999999996</v>
      </c>
      <c r="D28">
        <v>0.47754182965445036</v>
      </c>
      <c r="E28">
        <v>0</v>
      </c>
    </row>
    <row r="29" spans="1:5" ht="12.75">
      <c r="A29" s="53">
        <v>9000</v>
      </c>
      <c r="B29" s="50">
        <f t="shared" si="0"/>
        <v>0.03266450524196707</v>
      </c>
      <c r="C29" s="51">
        <f t="shared" si="1"/>
        <v>-1.8429999999999978</v>
      </c>
      <c r="D29">
        <v>-1.1974937012100182</v>
      </c>
      <c r="E29">
        <v>0</v>
      </c>
    </row>
    <row r="30" spans="1:5" ht="12.75">
      <c r="A30" s="53">
        <v>9500</v>
      </c>
      <c r="B30" s="50">
        <f t="shared" si="0"/>
        <v>0.037090125669680396</v>
      </c>
      <c r="C30" s="51">
        <f t="shared" si="1"/>
        <v>-1.7854999999999999</v>
      </c>
      <c r="D30">
        <v>-0.44139176298265037</v>
      </c>
      <c r="E30">
        <v>0</v>
      </c>
    </row>
    <row r="31" spans="1:5" ht="12.75">
      <c r="A31" s="53">
        <v>10000</v>
      </c>
      <c r="B31" s="50">
        <f t="shared" si="0"/>
        <v>0.04199411218882143</v>
      </c>
      <c r="C31" s="51">
        <f t="shared" si="1"/>
        <v>-1.728000000000001</v>
      </c>
      <c r="D31">
        <v>0.25264914823426887</v>
      </c>
      <c r="E31">
        <v>0</v>
      </c>
    </row>
    <row r="32" spans="1:5" ht="12.75">
      <c r="A32" s="53">
        <v>10500</v>
      </c>
      <c r="B32" s="50">
        <f t="shared" si="0"/>
        <v>0.04741023971458436</v>
      </c>
      <c r="C32" s="51">
        <f t="shared" si="1"/>
        <v>-1.6705000000000005</v>
      </c>
      <c r="D32">
        <v>0.9974408419347961</v>
      </c>
      <c r="E32">
        <v>0</v>
      </c>
    </row>
    <row r="33" spans="1:5" ht="12.75">
      <c r="A33" s="53">
        <v>11000</v>
      </c>
      <c r="B33" s="50">
        <f t="shared" si="0"/>
        <v>0.05337225389443412</v>
      </c>
      <c r="C33" s="51">
        <f t="shared" si="1"/>
        <v>-1.6130000000000013</v>
      </c>
      <c r="D33">
        <v>-2.3786329453328006</v>
      </c>
      <c r="E33">
        <v>1</v>
      </c>
    </row>
    <row r="34" spans="1:5" ht="12.75">
      <c r="A34" s="53">
        <v>11500</v>
      </c>
      <c r="B34" s="50">
        <f t="shared" si="0"/>
        <v>0.059913517287857765</v>
      </c>
      <c r="C34" s="51">
        <f t="shared" si="1"/>
        <v>-1.5555000000000003</v>
      </c>
      <c r="D34">
        <v>-0.8770618553158582</v>
      </c>
      <c r="E34">
        <v>0</v>
      </c>
    </row>
    <row r="35" spans="1:5" ht="12.75">
      <c r="A35" s="53">
        <v>12000</v>
      </c>
      <c r="B35" s="50">
        <f t="shared" si="0"/>
        <v>0.06706662522874218</v>
      </c>
      <c r="C35" s="51">
        <f t="shared" si="1"/>
        <v>-1.4980000000000007</v>
      </c>
      <c r="D35">
        <v>0.004956422743850836</v>
      </c>
      <c r="E35">
        <v>0</v>
      </c>
    </row>
    <row r="36" spans="1:5" ht="12.75">
      <c r="A36" s="53">
        <v>12500</v>
      </c>
      <c r="B36" s="50">
        <f t="shared" si="0"/>
        <v>0.07486299501134397</v>
      </c>
      <c r="C36" s="51">
        <f t="shared" si="1"/>
        <v>-1.4405000000000006</v>
      </c>
      <c r="D36">
        <v>0.203521453776719</v>
      </c>
      <c r="E36">
        <v>0</v>
      </c>
    </row>
    <row r="37" spans="1:5" ht="12.75">
      <c r="A37" s="53">
        <v>13000</v>
      </c>
      <c r="B37" s="50">
        <f t="shared" si="0"/>
        <v>0.08333243294626436</v>
      </c>
      <c r="C37" s="51">
        <f t="shared" si="1"/>
        <v>-1.3830000000000005</v>
      </c>
      <c r="D37">
        <v>-0.1742793606019302</v>
      </c>
      <c r="E37">
        <v>0</v>
      </c>
    </row>
    <row r="38" spans="1:5" ht="12.75">
      <c r="A38" s="53">
        <v>13500</v>
      </c>
      <c r="B38" s="50">
        <f t="shared" si="0"/>
        <v>0.09250268471480749</v>
      </c>
      <c r="C38" s="51">
        <f t="shared" si="1"/>
        <v>-1.3255000000000008</v>
      </c>
      <c r="D38">
        <v>-0.2522782573555833</v>
      </c>
      <c r="E38">
        <v>0</v>
      </c>
    </row>
    <row r="39" spans="1:5" ht="12.75">
      <c r="A39" s="53">
        <v>14000</v>
      </c>
      <c r="B39" s="50">
        <f t="shared" si="0"/>
        <v>0.10239897528205288</v>
      </c>
      <c r="C39" s="51">
        <f t="shared" si="1"/>
        <v>-1.2680000000000007</v>
      </c>
      <c r="D39">
        <v>-0.4049999665069979</v>
      </c>
      <c r="E39">
        <v>0</v>
      </c>
    </row>
    <row r="40" spans="1:5" ht="12.75">
      <c r="A40" s="53">
        <v>14500</v>
      </c>
      <c r="B40" s="50">
        <f t="shared" si="0"/>
        <v>0.11304354538361294</v>
      </c>
      <c r="C40" s="51">
        <f t="shared" si="1"/>
        <v>-1.210500000000001</v>
      </c>
      <c r="D40">
        <v>-0.7954105238294344</v>
      </c>
      <c r="E40">
        <v>0</v>
      </c>
    </row>
    <row r="41" spans="1:5" ht="12.75">
      <c r="A41" s="53">
        <v>15000</v>
      </c>
      <c r="B41" s="50">
        <f t="shared" si="0"/>
        <v>0.12445519225097645</v>
      </c>
      <c r="C41" s="51">
        <f t="shared" si="1"/>
        <v>-1.1530000000000005</v>
      </c>
      <c r="D41">
        <v>-0.2614663690865375</v>
      </c>
      <c r="E41">
        <v>0</v>
      </c>
    </row>
    <row r="42" spans="1:5" ht="12.75">
      <c r="A42" s="53">
        <v>15500</v>
      </c>
      <c r="B42" s="50">
        <f t="shared" si="0"/>
        <v>0.1366488227591247</v>
      </c>
      <c r="C42" s="51">
        <f t="shared" si="1"/>
        <v>-1.0955000000000008</v>
      </c>
      <c r="D42">
        <v>0.2980264516611707</v>
      </c>
      <c r="E42">
        <v>0</v>
      </c>
    </row>
    <row r="43" spans="1:5" ht="12.75">
      <c r="A43" s="53">
        <v>16000</v>
      </c>
      <c r="B43" s="50">
        <f t="shared" si="0"/>
        <v>0.1496350275432028</v>
      </c>
      <c r="C43" s="51">
        <f t="shared" si="1"/>
        <v>-1.0380000000000003</v>
      </c>
      <c r="D43">
        <v>0.22829603904386891</v>
      </c>
      <c r="E43">
        <v>0</v>
      </c>
    </row>
    <row r="44" spans="1:5" ht="12.75">
      <c r="A44" s="53">
        <v>16500</v>
      </c>
      <c r="B44" s="50">
        <f t="shared" si="0"/>
        <v>0.1634196848167737</v>
      </c>
      <c r="C44" s="51">
        <f t="shared" si="1"/>
        <v>-0.9805000000000004</v>
      </c>
      <c r="D44">
        <v>0.3344570274567226</v>
      </c>
      <c r="E44">
        <v>0</v>
      </c>
    </row>
    <row r="45" spans="1:5" ht="12.75">
      <c r="A45" s="53">
        <v>17000</v>
      </c>
      <c r="B45" s="50">
        <f t="shared" si="0"/>
        <v>0.1780036026147649</v>
      </c>
      <c r="C45" s="51">
        <f t="shared" si="1"/>
        <v>-0.9230000000000005</v>
      </c>
      <c r="D45">
        <v>0.35548557469721725</v>
      </c>
      <c r="E45">
        <v>0</v>
      </c>
    </row>
    <row r="46" spans="1:5" ht="12.75">
      <c r="A46" s="53">
        <v>17500</v>
      </c>
      <c r="B46" s="50">
        <f t="shared" si="0"/>
        <v>0.19338220796654593</v>
      </c>
      <c r="C46" s="51">
        <f t="shared" si="1"/>
        <v>-0.8655000000000008</v>
      </c>
      <c r="D46">
        <v>-0.5819134296803673</v>
      </c>
      <c r="E46">
        <v>0</v>
      </c>
    </row>
    <row r="47" spans="1:5" ht="12.75">
      <c r="A47" s="53">
        <v>18000</v>
      </c>
      <c r="B47" s="50">
        <f t="shared" si="0"/>
        <v>0.20954529107107067</v>
      </c>
      <c r="C47" s="51">
        <f t="shared" si="1"/>
        <v>-0.8080000000000003</v>
      </c>
      <c r="D47">
        <v>-0.9354148618976177</v>
      </c>
      <c r="E47">
        <v>1</v>
      </c>
    </row>
    <row r="48" spans="1:5" ht="12.75">
      <c r="A48" s="53">
        <v>18500</v>
      </c>
      <c r="B48" s="50">
        <f t="shared" si="0"/>
        <v>0.22647681189516833</v>
      </c>
      <c r="C48" s="51">
        <f t="shared" si="1"/>
        <v>-0.7505000000000004</v>
      </c>
      <c r="D48">
        <v>-0.5747489054096342</v>
      </c>
      <c r="E48">
        <v>0</v>
      </c>
    </row>
    <row r="49" spans="1:5" ht="12.75">
      <c r="A49" s="53">
        <v>19000</v>
      </c>
      <c r="B49" s="50">
        <f t="shared" si="0"/>
        <v>0.24415477575296174</v>
      </c>
      <c r="C49" s="51">
        <f t="shared" si="1"/>
        <v>-0.6930000000000003</v>
      </c>
      <c r="D49">
        <v>2.1116348492267365</v>
      </c>
      <c r="E49">
        <v>0</v>
      </c>
    </row>
    <row r="50" spans="1:5" ht="12.75">
      <c r="A50" s="53">
        <v>19500</v>
      </c>
      <c r="B50" s="50">
        <f t="shared" si="0"/>
        <v>0.2625511833607713</v>
      </c>
      <c r="C50" s="51">
        <f t="shared" si="1"/>
        <v>-0.6355</v>
      </c>
      <c r="D50">
        <v>-0.8395112911098307</v>
      </c>
      <c r="E50">
        <v>1</v>
      </c>
    </row>
    <row r="51" spans="1:5" ht="12.75">
      <c r="A51" s="53">
        <v>20000</v>
      </c>
      <c r="B51" s="50">
        <f t="shared" si="0"/>
        <v>0.28163205961626003</v>
      </c>
      <c r="C51" s="51">
        <f t="shared" si="1"/>
        <v>-0.5779999999999998</v>
      </c>
      <c r="D51">
        <v>0.22292818214922652</v>
      </c>
      <c r="E51">
        <v>0</v>
      </c>
    </row>
    <row r="52" spans="1:5" ht="12.75">
      <c r="A52" s="53">
        <v>20500</v>
      </c>
      <c r="B52" s="50">
        <f t="shared" si="0"/>
        <v>0.3013575639478958</v>
      </c>
      <c r="C52" s="51">
        <f t="shared" si="1"/>
        <v>-0.5205000000000004</v>
      </c>
      <c r="D52">
        <v>0.9090001021884876</v>
      </c>
      <c r="E52">
        <v>0</v>
      </c>
    </row>
    <row r="53" spans="1:5" ht="12.75">
      <c r="A53" s="53">
        <v>21000</v>
      </c>
      <c r="B53" s="50">
        <f t="shared" si="0"/>
        <v>0.3216821835518655</v>
      </c>
      <c r="C53" s="51">
        <f t="shared" si="1"/>
        <v>-0.4630000000000004</v>
      </c>
      <c r="D53">
        <v>1.523653643525897</v>
      </c>
      <c r="E53">
        <v>0</v>
      </c>
    </row>
    <row r="54" spans="1:5" ht="12.75">
      <c r="A54" s="53">
        <v>21500</v>
      </c>
      <c r="B54" s="50">
        <f t="shared" si="0"/>
        <v>0.34255500921430593</v>
      </c>
      <c r="C54" s="51">
        <f t="shared" si="1"/>
        <v>-0.4055000000000001</v>
      </c>
      <c r="D54">
        <v>0.36006761503215157</v>
      </c>
      <c r="E54">
        <v>0</v>
      </c>
    </row>
    <row r="55" spans="1:5" ht="12.75">
      <c r="A55" s="53">
        <v>22000</v>
      </c>
      <c r="B55" s="50">
        <f t="shared" si="0"/>
        <v>0.36392009174717477</v>
      </c>
      <c r="C55" s="51">
        <f t="shared" si="1"/>
        <v>-0.3480000000000001</v>
      </c>
      <c r="D55">
        <v>0.8084836185166134</v>
      </c>
      <c r="E55">
        <v>0</v>
      </c>
    </row>
    <row r="56" spans="1:5" ht="12.75">
      <c r="A56" s="53">
        <v>22500</v>
      </c>
      <c r="B56" s="50">
        <f t="shared" si="0"/>
        <v>0.3857168753892424</v>
      </c>
      <c r="C56" s="51">
        <f t="shared" si="1"/>
        <v>-0.2905000000000003</v>
      </c>
      <c r="D56">
        <v>0.5085052850036568</v>
      </c>
      <c r="E56">
        <v>0</v>
      </c>
    </row>
    <row r="57" spans="1:5" ht="12.75">
      <c r="A57" s="53">
        <v>23000</v>
      </c>
      <c r="B57" s="50">
        <f t="shared" si="0"/>
        <v>0.4078807028841308</v>
      </c>
      <c r="C57" s="51">
        <f t="shared" si="1"/>
        <v>-0.23300000000000032</v>
      </c>
      <c r="D57">
        <v>1.0875397662203927</v>
      </c>
      <c r="E57">
        <v>0</v>
      </c>
    </row>
    <row r="58" spans="1:5" ht="12.75">
      <c r="A58" s="53">
        <v>23500</v>
      </c>
      <c r="B58" s="50">
        <f t="shared" si="0"/>
        <v>0.43034338538978667</v>
      </c>
      <c r="C58" s="51">
        <f t="shared" si="1"/>
        <v>-0.1755000000000001</v>
      </c>
      <c r="D58">
        <v>-2.163644237859612</v>
      </c>
      <c r="E58">
        <v>1</v>
      </c>
    </row>
    <row r="59" spans="1:5" ht="12.75">
      <c r="A59" s="53">
        <v>24000</v>
      </c>
      <c r="B59" s="50">
        <f t="shared" si="0"/>
        <v>0.4530338289416578</v>
      </c>
      <c r="C59" s="51">
        <f t="shared" si="1"/>
        <v>-0.11800000000000019</v>
      </c>
      <c r="D59">
        <v>-0.009697729787438946</v>
      </c>
      <c r="E59">
        <v>0</v>
      </c>
    </row>
    <row r="60" spans="1:5" ht="12.75">
      <c r="A60" s="53">
        <v>24500</v>
      </c>
      <c r="B60" s="50">
        <f t="shared" si="0"/>
        <v>0.4758787079257478</v>
      </c>
      <c r="C60" s="51">
        <f t="shared" si="1"/>
        <v>-0.06050000000000029</v>
      </c>
      <c r="D60">
        <v>-0.13013210726624666</v>
      </c>
      <c r="E60">
        <v>1</v>
      </c>
    </row>
    <row r="61" spans="1:5" ht="12.75">
      <c r="A61" s="53">
        <v>25000</v>
      </c>
      <c r="B61" s="50">
        <f t="shared" si="0"/>
        <v>0.4988031749540335</v>
      </c>
      <c r="C61" s="51">
        <f t="shared" si="1"/>
        <v>-0.0030000000000002915</v>
      </c>
      <c r="D61">
        <v>0.23154117453033674</v>
      </c>
      <c r="E61">
        <v>0</v>
      </c>
    </row>
    <row r="62" spans="1:5" ht="12.75">
      <c r="A62" s="53">
        <v>25500</v>
      </c>
      <c r="B62" s="50">
        <f t="shared" si="0"/>
        <v>0.5217315957043674</v>
      </c>
      <c r="C62" s="51">
        <f t="shared" si="1"/>
        <v>0.054499999999999826</v>
      </c>
      <c r="D62">
        <v>0.5739622879108157</v>
      </c>
      <c r="E62">
        <v>0</v>
      </c>
    </row>
    <row r="63" spans="1:5" ht="12.75">
      <c r="A63" s="53">
        <v>26000</v>
      </c>
      <c r="B63" s="50">
        <f t="shared" si="0"/>
        <v>0.5445882967142657</v>
      </c>
      <c r="C63" s="51">
        <f t="shared" si="1"/>
        <v>0.1119999999999999</v>
      </c>
      <c r="D63">
        <v>0.07021069498766817</v>
      </c>
      <c r="E63">
        <v>1</v>
      </c>
    </row>
    <row r="64" spans="1:5" ht="12.75">
      <c r="A64" s="53">
        <v>26500</v>
      </c>
      <c r="B64" s="50">
        <f t="shared" si="0"/>
        <v>0.5672983138197749</v>
      </c>
      <c r="C64" s="51">
        <f t="shared" si="1"/>
        <v>0.16949999999999976</v>
      </c>
      <c r="D64">
        <v>-0.4779096548949761</v>
      </c>
      <c r="E64">
        <v>1</v>
      </c>
    </row>
    <row r="65" spans="1:5" ht="12.75">
      <c r="A65" s="53">
        <v>27000</v>
      </c>
      <c r="B65" s="50">
        <f t="shared" si="0"/>
        <v>0.5897881289157486</v>
      </c>
      <c r="C65" s="51">
        <f t="shared" si="1"/>
        <v>0.2269999999999997</v>
      </c>
      <c r="D65">
        <v>0.25295298802016697</v>
      </c>
      <c r="E65">
        <v>0</v>
      </c>
    </row>
    <row r="66" spans="1:5" ht="12.75">
      <c r="A66" s="53">
        <v>27500</v>
      </c>
      <c r="B66" s="50">
        <f t="shared" si="0"/>
        <v>0.6119863829827656</v>
      </c>
      <c r="C66" s="51">
        <f t="shared" si="1"/>
        <v>0.28449999999999964</v>
      </c>
      <c r="D66">
        <v>-1.0292076097210459</v>
      </c>
      <c r="E66">
        <v>1</v>
      </c>
    </row>
    <row r="67" spans="1:5" ht="12.75">
      <c r="A67" s="53">
        <v>28000</v>
      </c>
      <c r="B67" s="50">
        <f t="shared" si="0"/>
        <v>0.6338245538706584</v>
      </c>
      <c r="C67" s="51">
        <f t="shared" si="1"/>
        <v>0.34199999999999997</v>
      </c>
      <c r="D67">
        <v>-0.0038382719819285596</v>
      </c>
      <c r="E67">
        <v>1</v>
      </c>
    </row>
    <row r="68" spans="1:5" ht="12.75">
      <c r="A68" s="53">
        <v>28500</v>
      </c>
      <c r="B68" s="50">
        <f t="shared" si="0"/>
        <v>0.6552375881331114</v>
      </c>
      <c r="C68" s="51">
        <f t="shared" si="1"/>
        <v>0.3995000000000001</v>
      </c>
      <c r="D68">
        <v>0.7916725590998044</v>
      </c>
      <c r="E68">
        <v>0</v>
      </c>
    </row>
    <row r="69" spans="1:5" ht="12.75">
      <c r="A69" s="53">
        <v>29000</v>
      </c>
      <c r="B69" s="50">
        <f t="shared" si="0"/>
        <v>0.6761644772484725</v>
      </c>
      <c r="C69" s="51">
        <f t="shared" si="1"/>
        <v>0.45699999999999974</v>
      </c>
      <c r="D69">
        <v>0.04612135497697416</v>
      </c>
      <c r="E69">
        <v>1</v>
      </c>
    </row>
    <row r="70" spans="1:5" ht="12.75">
      <c r="A70" s="53">
        <v>29500</v>
      </c>
      <c r="B70" s="50">
        <f t="shared" si="0"/>
        <v>0.6965487698085067</v>
      </c>
      <c r="C70" s="51">
        <f t="shared" si="1"/>
        <v>0.5144999999999995</v>
      </c>
      <c r="D70">
        <v>0.5854636108239561</v>
      </c>
      <c r="E70">
        <v>0</v>
      </c>
    </row>
    <row r="71" spans="1:5" ht="12.75">
      <c r="A71" s="53">
        <v>30000</v>
      </c>
      <c r="B71" s="50">
        <f t="shared" si="0"/>
        <v>0.7163390126734549</v>
      </c>
      <c r="C71" s="51">
        <f t="shared" si="1"/>
        <v>0.5719999999999998</v>
      </c>
      <c r="D71">
        <v>0.7052243555598972</v>
      </c>
      <c r="E71">
        <v>0</v>
      </c>
    </row>
    <row r="72" spans="1:5" ht="12.75">
      <c r="A72" s="53">
        <v>30500</v>
      </c>
      <c r="B72" s="50">
        <f t="shared" si="0"/>
        <v>0.735489115638204</v>
      </c>
      <c r="C72" s="51">
        <f t="shared" si="1"/>
        <v>0.6295</v>
      </c>
      <c r="D72">
        <v>0.40751664882845273</v>
      </c>
      <c r="E72">
        <v>1</v>
      </c>
    </row>
    <row r="73" spans="1:5" ht="12.75">
      <c r="A73" s="53">
        <v>31000</v>
      </c>
      <c r="B73" s="50">
        <f t="shared" si="0"/>
        <v>0.7539586357874487</v>
      </c>
      <c r="C73" s="51">
        <f t="shared" si="1"/>
        <v>0.6869999999999996</v>
      </c>
      <c r="D73">
        <v>0.6845104416199851</v>
      </c>
      <c r="E73">
        <v>1</v>
      </c>
    </row>
    <row r="74" spans="1:5" ht="12.75">
      <c r="A74" s="53">
        <v>31500</v>
      </c>
      <c r="B74" s="50">
        <f t="shared" si="0"/>
        <v>0.7717129793927768</v>
      </c>
      <c r="C74" s="51">
        <f t="shared" si="1"/>
        <v>0.7444999999999997</v>
      </c>
      <c r="D74">
        <v>0.8010013222541279</v>
      </c>
      <c r="E74">
        <v>0</v>
      </c>
    </row>
    <row r="75" spans="1:5" ht="12.75">
      <c r="A75" s="53">
        <v>32000</v>
      </c>
      <c r="B75" s="50">
        <f t="shared" si="0"/>
        <v>0.7887235208769545</v>
      </c>
      <c r="C75" s="51">
        <f t="shared" si="1"/>
        <v>0.8019999999999998</v>
      </c>
      <c r="D75">
        <v>0.6205573309349472</v>
      </c>
      <c r="E75">
        <v>1</v>
      </c>
    </row>
    <row r="76" spans="1:5" ht="12.75">
      <c r="A76" s="53">
        <v>32500</v>
      </c>
      <c r="B76" s="50">
        <f aca="true" t="shared" si="2" ref="B76:B110">NORMDIST($B$4+$B$5*A76,0,1,1)</f>
        <v>0.8049676399971499</v>
      </c>
      <c r="C76" s="51">
        <f aca="true" t="shared" si="3" ref="C76:C110">NORMINV(B76,0,1)</f>
        <v>0.8594999999999997</v>
      </c>
      <c r="D76">
        <v>-0.6631332131132631</v>
      </c>
      <c r="E76">
        <v>1</v>
      </c>
    </row>
    <row r="77" spans="1:5" ht="12.75">
      <c r="A77" s="53">
        <v>33000</v>
      </c>
      <c r="B77" s="50">
        <f t="shared" si="2"/>
        <v>0.8204286799389414</v>
      </c>
      <c r="C77" s="51">
        <f t="shared" si="3"/>
        <v>0.9169999999999998</v>
      </c>
      <c r="D77">
        <v>-0.9964916797483894</v>
      </c>
      <c r="E77">
        <v>1</v>
      </c>
    </row>
    <row r="78" spans="1:5" ht="12.75">
      <c r="A78" s="53">
        <v>33500</v>
      </c>
      <c r="B78" s="50">
        <f t="shared" si="2"/>
        <v>0.8350958304303586</v>
      </c>
      <c r="C78" s="51">
        <f t="shared" si="3"/>
        <v>0.9744999999999997</v>
      </c>
      <c r="D78">
        <v>-1.0501304274981882</v>
      </c>
      <c r="E78">
        <v>1</v>
      </c>
    </row>
    <row r="79" spans="1:5" ht="12.75">
      <c r="A79" s="53">
        <v>34000</v>
      </c>
      <c r="B79" s="50">
        <f t="shared" si="2"/>
        <v>0.8489639412484677</v>
      </c>
      <c r="C79" s="51">
        <f t="shared" si="3"/>
        <v>1.0319999999999991</v>
      </c>
      <c r="D79">
        <v>2.25556268705414</v>
      </c>
      <c r="E79">
        <v>0</v>
      </c>
    </row>
    <row r="80" spans="1:5" ht="12.75">
      <c r="A80" s="53">
        <v>34500</v>
      </c>
      <c r="B80" s="50">
        <f t="shared" si="2"/>
        <v>0.8620332725745941</v>
      </c>
      <c r="C80" s="51">
        <f t="shared" si="3"/>
        <v>1.0894999999999997</v>
      </c>
      <c r="D80">
        <v>0.6323145356133457</v>
      </c>
      <c r="E80">
        <v>1</v>
      </c>
    </row>
    <row r="81" spans="1:5" ht="12.75">
      <c r="A81" s="53">
        <v>35000</v>
      </c>
      <c r="B81" s="50">
        <f t="shared" si="2"/>
        <v>0.8743091895389763</v>
      </c>
      <c r="C81" s="51">
        <f t="shared" si="3"/>
        <v>1.1469999999999998</v>
      </c>
      <c r="D81">
        <v>-0.5661911770478868</v>
      </c>
      <c r="E81">
        <v>1</v>
      </c>
    </row>
    <row r="82" spans="1:5" ht="12.75">
      <c r="A82" s="53">
        <v>35500</v>
      </c>
      <c r="B82" s="50">
        <f t="shared" si="2"/>
        <v>0.8858018089689967</v>
      </c>
      <c r="C82" s="51">
        <f t="shared" si="3"/>
        <v>1.2045</v>
      </c>
      <c r="D82">
        <v>-1.635765899024658</v>
      </c>
      <c r="E82">
        <v>1</v>
      </c>
    </row>
    <row r="83" spans="1:5" ht="12.75">
      <c r="A83" s="53">
        <v>36000</v>
      </c>
      <c r="B83" s="50">
        <f t="shared" si="2"/>
        <v>0.8965256068113512</v>
      </c>
      <c r="C83" s="51">
        <f t="shared" si="3"/>
        <v>1.2620000000000005</v>
      </c>
      <c r="D83">
        <v>-1.7474811894311408</v>
      </c>
      <c r="E83">
        <v>1</v>
      </c>
    </row>
    <row r="84" spans="1:5" ht="12.75">
      <c r="A84" s="53">
        <v>36500</v>
      </c>
      <c r="B84" s="50">
        <f t="shared" si="2"/>
        <v>0.9064989949384643</v>
      </c>
      <c r="C84" s="51">
        <f t="shared" si="3"/>
        <v>1.3194999999999992</v>
      </c>
      <c r="D84">
        <v>-1.0193695775898999</v>
      </c>
      <c r="E84">
        <v>1</v>
      </c>
    </row>
    <row r="85" spans="1:5" ht="12.75">
      <c r="A85" s="53">
        <v>37000</v>
      </c>
      <c r="B85" s="50">
        <f t="shared" si="2"/>
        <v>0.9157438760800853</v>
      </c>
      <c r="C85" s="51">
        <f t="shared" si="3"/>
        <v>1.376999999999999</v>
      </c>
      <c r="D85">
        <v>-0.5193012681298862</v>
      </c>
      <c r="E85">
        <v>1</v>
      </c>
    </row>
    <row r="86" spans="1:5" ht="12.75">
      <c r="A86" s="53">
        <v>37500</v>
      </c>
      <c r="B86" s="50">
        <f t="shared" si="2"/>
        <v>0.9242851854548514</v>
      </c>
      <c r="C86" s="51">
        <f t="shared" si="3"/>
        <v>1.4344999999999999</v>
      </c>
      <c r="D86">
        <v>-0.6679755746091874</v>
      </c>
      <c r="E86">
        <v>1</v>
      </c>
    </row>
    <row r="87" spans="1:5" ht="12.75">
      <c r="A87" s="53">
        <v>38000</v>
      </c>
      <c r="B87" s="50">
        <f t="shared" si="2"/>
        <v>0.9321504273310723</v>
      </c>
      <c r="C87" s="51">
        <f t="shared" si="3"/>
        <v>1.491999999999999</v>
      </c>
      <c r="D87">
        <v>2.076376993991585</v>
      </c>
      <c r="E87">
        <v>0</v>
      </c>
    </row>
    <row r="88" spans="1:5" ht="12.75">
      <c r="A88" s="53">
        <v>38500</v>
      </c>
      <c r="B88" s="50">
        <f t="shared" si="2"/>
        <v>0.9393692142423424</v>
      </c>
      <c r="C88" s="51">
        <f t="shared" si="3"/>
        <v>1.5494999999999992</v>
      </c>
      <c r="D88">
        <v>-0.06622138457434666</v>
      </c>
      <c r="E88">
        <v>1</v>
      </c>
    </row>
    <row r="89" spans="1:5" ht="12.75">
      <c r="A89" s="53">
        <v>39000</v>
      </c>
      <c r="B89" s="50">
        <f t="shared" si="2"/>
        <v>0.9459728159461208</v>
      </c>
      <c r="C89" s="51">
        <f t="shared" si="3"/>
        <v>1.6070000000000002</v>
      </c>
      <c r="D89">
        <v>-1.7158428251611306</v>
      </c>
      <c r="E89">
        <v>1</v>
      </c>
    </row>
    <row r="90" spans="1:5" ht="12.75">
      <c r="A90" s="53">
        <v>39500</v>
      </c>
      <c r="B90" s="50">
        <f t="shared" si="2"/>
        <v>0.9519937244684544</v>
      </c>
      <c r="C90" s="51">
        <f t="shared" si="3"/>
        <v>1.664499999999999</v>
      </c>
      <c r="D90">
        <v>0.45128502351020905</v>
      </c>
      <c r="E90">
        <v>1</v>
      </c>
    </row>
    <row r="91" spans="1:5" ht="12.75">
      <c r="A91" s="53">
        <v>40000</v>
      </c>
      <c r="B91" s="50">
        <f t="shared" si="2"/>
        <v>0.9574652407528241</v>
      </c>
      <c r="C91" s="51">
        <f t="shared" si="3"/>
        <v>1.721999999999999</v>
      </c>
      <c r="D91">
        <v>-1.3450838108091974</v>
      </c>
      <c r="E91">
        <v>1</v>
      </c>
    </row>
    <row r="92" spans="1:5" ht="12.75">
      <c r="A92" s="53">
        <v>40500</v>
      </c>
      <c r="B92" s="50">
        <f t="shared" si="2"/>
        <v>0.9624210875531103</v>
      </c>
      <c r="C92" s="51">
        <f t="shared" si="3"/>
        <v>1.7795000000000005</v>
      </c>
      <c r="D92">
        <v>-0.14651105253706495</v>
      </c>
      <c r="E92">
        <v>1</v>
      </c>
    </row>
    <row r="93" spans="1:5" ht="12.75">
      <c r="A93" s="53">
        <v>41000</v>
      </c>
      <c r="B93" s="50">
        <f t="shared" si="2"/>
        <v>0.9668950523064712</v>
      </c>
      <c r="C93" s="51">
        <f t="shared" si="3"/>
        <v>1.8369999999999993</v>
      </c>
      <c r="D93">
        <v>-1.4920793223656768</v>
      </c>
      <c r="E93">
        <v>1</v>
      </c>
    </row>
    <row r="94" spans="1:5" ht="12.75">
      <c r="A94" s="53">
        <v>41500</v>
      </c>
      <c r="B94" s="50">
        <f t="shared" si="2"/>
        <v>0.9709206628165546</v>
      </c>
      <c r="C94" s="51">
        <f t="shared" si="3"/>
        <v>1.8944999999999976</v>
      </c>
      <c r="D94">
        <v>-1.3337559116946605</v>
      </c>
      <c r="E94">
        <v>1</v>
      </c>
    </row>
    <row r="95" spans="1:5" ht="12.75">
      <c r="A95" s="53">
        <v>42000</v>
      </c>
      <c r="B95" s="50">
        <f t="shared" si="2"/>
        <v>0.9745308976937684</v>
      </c>
      <c r="C95" s="51">
        <f t="shared" si="3"/>
        <v>1.9519999999999977</v>
      </c>
      <c r="D95">
        <v>-1.55769513385734</v>
      </c>
      <c r="E95">
        <v>1</v>
      </c>
    </row>
    <row r="96" spans="1:5" ht="12.75">
      <c r="A96" s="53">
        <v>42500</v>
      </c>
      <c r="B96" s="50">
        <f t="shared" si="2"/>
        <v>0.977757932657401</v>
      </c>
      <c r="C96" s="51">
        <f t="shared" si="3"/>
        <v>2.009500000000002</v>
      </c>
      <c r="D96">
        <v>-1.6878504721337002</v>
      </c>
      <c r="E96">
        <v>1</v>
      </c>
    </row>
    <row r="97" spans="1:5" ht="12.75">
      <c r="A97" s="53">
        <v>43000</v>
      </c>
      <c r="B97" s="50">
        <f t="shared" si="2"/>
        <v>0.9806329230212476</v>
      </c>
      <c r="C97" s="51">
        <f t="shared" si="3"/>
        <v>2.0669999999999993</v>
      </c>
      <c r="D97">
        <v>-0.5080769026831888</v>
      </c>
      <c r="E97">
        <v>1</v>
      </c>
    </row>
    <row r="98" spans="1:5" ht="12.75">
      <c r="A98" s="53">
        <v>43500</v>
      </c>
      <c r="B98" s="50">
        <f t="shared" si="2"/>
        <v>0.9831858219737302</v>
      </c>
      <c r="C98" s="51">
        <f t="shared" si="3"/>
        <v>2.124499999999996</v>
      </c>
      <c r="D98">
        <v>-0.9293865885100284</v>
      </c>
      <c r="E98">
        <v>1</v>
      </c>
    </row>
    <row r="99" spans="1:5" ht="12.75">
      <c r="A99" s="53">
        <v>44000</v>
      </c>
      <c r="B99" s="50">
        <f t="shared" si="2"/>
        <v>0.9854452336355564</v>
      </c>
      <c r="C99" s="51">
        <f t="shared" si="3"/>
        <v>2.181999999999997</v>
      </c>
      <c r="D99">
        <v>0.2312584913569688</v>
      </c>
      <c r="E99">
        <v>1</v>
      </c>
    </row>
    <row r="100" spans="1:5" ht="12.75">
      <c r="A100" s="53">
        <v>44500</v>
      </c>
      <c r="B100" s="50">
        <f t="shared" si="2"/>
        <v>0.98743829933964</v>
      </c>
      <c r="C100" s="51">
        <f t="shared" si="3"/>
        <v>2.2394999999999996</v>
      </c>
      <c r="D100">
        <v>0.5342760341605494</v>
      </c>
      <c r="E100">
        <v>1</v>
      </c>
    </row>
    <row r="101" spans="1:5" ht="12.75">
      <c r="A101" s="53">
        <v>45000</v>
      </c>
      <c r="B101" s="50">
        <f t="shared" si="2"/>
        <v>0.989190615132902</v>
      </c>
      <c r="C101" s="51">
        <f t="shared" si="3"/>
        <v>2.2969999999999997</v>
      </c>
      <c r="D101">
        <v>-0.9276852076392045</v>
      </c>
      <c r="E101">
        <v>1</v>
      </c>
    </row>
    <row r="102" spans="1:5" ht="12.75">
      <c r="A102" s="53">
        <v>45500</v>
      </c>
      <c r="B102" s="50">
        <f t="shared" si="2"/>
        <v>0.990726178148331</v>
      </c>
      <c r="C102" s="51">
        <f t="shared" si="3"/>
        <v>2.354499999999997</v>
      </c>
      <c r="D102">
        <v>-0.11717307848330105</v>
      </c>
      <c r="E102">
        <v>1</v>
      </c>
    </row>
    <row r="103" spans="1:5" ht="12.75">
      <c r="A103" s="53">
        <v>46000</v>
      </c>
      <c r="B103" s="50">
        <f t="shared" si="2"/>
        <v>0.992067359236231</v>
      </c>
      <c r="C103" s="51">
        <f t="shared" si="3"/>
        <v>2.4120000000000017</v>
      </c>
      <c r="D103">
        <v>0.5565844621190802</v>
      </c>
      <c r="E103">
        <v>1</v>
      </c>
    </row>
    <row r="104" spans="1:5" ht="12.75">
      <c r="A104" s="53">
        <v>46500</v>
      </c>
      <c r="B104" s="50">
        <f t="shared" si="2"/>
        <v>0.9932348990715443</v>
      </c>
      <c r="C104" s="51">
        <f t="shared" si="3"/>
        <v>2.469499999999986</v>
      </c>
      <c r="D104">
        <v>1.304043739334579</v>
      </c>
      <c r="E104">
        <v>1</v>
      </c>
    </row>
    <row r="105" spans="1:5" ht="12.75">
      <c r="A105" s="53">
        <v>47000</v>
      </c>
      <c r="B105" s="50">
        <f t="shared" si="2"/>
        <v>0.9942479248632279</v>
      </c>
      <c r="C105" s="51">
        <f t="shared" si="3"/>
        <v>2.5269999999999877</v>
      </c>
      <c r="D105">
        <v>1.9437949425747887</v>
      </c>
      <c r="E105">
        <v>1</v>
      </c>
    </row>
    <row r="106" spans="1:5" ht="12.75">
      <c r="A106" s="53">
        <v>47500</v>
      </c>
      <c r="B106" s="50">
        <f t="shared" si="2"/>
        <v>0.9951239847740925</v>
      </c>
      <c r="C106" s="51">
        <f t="shared" si="3"/>
        <v>2.5844999999999976</v>
      </c>
      <c r="D106">
        <v>-0.7463262316232491</v>
      </c>
      <c r="E106">
        <v>1</v>
      </c>
    </row>
    <row r="107" spans="1:5" ht="12.75">
      <c r="A107" s="53">
        <v>48000</v>
      </c>
      <c r="B107" s="50">
        <f t="shared" si="2"/>
        <v>0.9958790972064784</v>
      </c>
      <c r="C107" s="51">
        <f t="shared" si="3"/>
        <v>2.6419999999999986</v>
      </c>
      <c r="D107">
        <v>-0.7741437593842556</v>
      </c>
      <c r="E107">
        <v>1</v>
      </c>
    </row>
    <row r="108" spans="1:5" ht="12.75">
      <c r="A108" s="53">
        <v>48500</v>
      </c>
      <c r="B108" s="50">
        <f t="shared" si="2"/>
        <v>0.9965278122111206</v>
      </c>
      <c r="C108" s="51">
        <f t="shared" si="3"/>
        <v>2.6994999999999987</v>
      </c>
      <c r="D108">
        <v>-0.22815401564477883</v>
      </c>
      <c r="E108">
        <v>1</v>
      </c>
    </row>
    <row r="109" spans="1:5" ht="12.75">
      <c r="A109" s="53">
        <v>49000</v>
      </c>
      <c r="B109" s="50">
        <f t="shared" si="2"/>
        <v>0.9970832824237946</v>
      </c>
      <c r="C109" s="51">
        <f t="shared" si="3"/>
        <v>2.7570000000000228</v>
      </c>
      <c r="D109">
        <v>-1.0448407372421826</v>
      </c>
      <c r="E109">
        <v>1</v>
      </c>
    </row>
    <row r="110" spans="1:5" ht="12.75">
      <c r="A110" s="53">
        <v>49500</v>
      </c>
      <c r="B110" s="50">
        <f t="shared" si="2"/>
        <v>0.9975573411171282</v>
      </c>
      <c r="C110" s="51">
        <f t="shared" si="3"/>
        <v>2.81449999999996</v>
      </c>
      <c r="D110">
        <v>1.0945939723841647</v>
      </c>
      <c r="E110">
        <v>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211"/>
  <dimension ref="A1:AM64"/>
  <sheetViews>
    <sheetView showGridLines="0" workbookViewId="0" topLeftCell="A1">
      <selection activeCell="C31" sqref="C31"/>
    </sheetView>
  </sheetViews>
  <sheetFormatPr defaultColWidth="9.140625" defaultRowHeight="12.75"/>
  <cols>
    <col min="1" max="1" width="18.00390625" style="3" customWidth="1"/>
    <col min="2" max="2" width="14.28125" style="3" customWidth="1"/>
    <col min="4" max="4" width="15.140625" style="3" customWidth="1"/>
    <col min="5" max="5" width="10.28125" style="3" customWidth="1"/>
    <col min="6" max="6" width="12.421875" style="3" customWidth="1"/>
    <col min="7" max="7" width="21.421875" style="3" customWidth="1"/>
    <col min="8" max="8" width="14.140625" style="4" customWidth="1"/>
    <col min="9" max="9" width="14.140625" style="3" customWidth="1"/>
    <col min="10" max="10" width="19.140625" style="3" customWidth="1"/>
    <col min="11" max="13" width="10.28125" style="3" customWidth="1"/>
    <col min="14" max="18" width="10.28125" style="0" customWidth="1"/>
    <col min="19" max="16384" width="10.28125" style="3" customWidth="1"/>
  </cols>
  <sheetData>
    <row r="1" spans="1:39" ht="36" customHeight="1">
      <c r="A1" s="1" t="s">
        <v>0</v>
      </c>
      <c r="B1" s="2"/>
      <c r="K1" s="5"/>
      <c r="AK1" s="3">
        <v>9.861547111100428E-05</v>
      </c>
      <c r="AL1" s="3">
        <v>0</v>
      </c>
      <c r="AM1" s="3">
        <v>0</v>
      </c>
    </row>
    <row r="2" spans="1:39" ht="19.5" thickBot="1">
      <c r="A2" s="41" t="s">
        <v>1</v>
      </c>
      <c r="B2" s="6" t="s">
        <v>22</v>
      </c>
      <c r="F2" s="15"/>
      <c r="G2" s="68"/>
      <c r="H2" s="69"/>
      <c r="I2" s="15"/>
      <c r="K2" s="5"/>
      <c r="AH2" s="3">
        <v>9.861547111100428E-05</v>
      </c>
      <c r="AI2" s="3">
        <v>4.997090831155521E-05</v>
      </c>
      <c r="AK2" s="3">
        <v>9.861547111100428E-05</v>
      </c>
      <c r="AL2" s="3">
        <v>1</v>
      </c>
      <c r="AM2" s="3">
        <v>3706</v>
      </c>
    </row>
    <row r="3" spans="1:39" ht="16.5" thickBot="1">
      <c r="A3" s="3">
        <v>1</v>
      </c>
      <c r="B3" s="3">
        <v>0.0001224024325004266</v>
      </c>
      <c r="D3" s="7" t="s">
        <v>11</v>
      </c>
      <c r="E3" s="43">
        <v>12.000000290572643</v>
      </c>
      <c r="F3" s="71" t="s">
        <v>23</v>
      </c>
      <c r="G3" s="72"/>
      <c r="H3" s="73"/>
      <c r="I3" s="74"/>
      <c r="AH3" s="3">
        <v>9.992562301263881E-05</v>
      </c>
      <c r="AI3" s="3">
        <v>1</v>
      </c>
      <c r="AJ3" s="3">
        <v>3706</v>
      </c>
      <c r="AK3" s="3">
        <v>9.992562301263881E-05</v>
      </c>
      <c r="AL3" s="3">
        <v>1</v>
      </c>
      <c r="AM3" s="3">
        <v>3706</v>
      </c>
    </row>
    <row r="4" spans="1:39" ht="15" customHeight="1" thickBot="1">
      <c r="A4" s="3">
        <v>2</v>
      </c>
      <c r="B4" s="3">
        <v>0.00011187191408762134</v>
      </c>
      <c r="F4" s="46" t="s">
        <v>2</v>
      </c>
      <c r="G4" s="57">
        <v>0.00011494629232348002</v>
      </c>
      <c r="H4" s="44" t="s">
        <v>10</v>
      </c>
      <c r="I4" s="45">
        <v>500</v>
      </c>
      <c r="AH4" s="3">
        <v>0.00010123577491427334</v>
      </c>
      <c r="AI4" s="3">
        <v>0</v>
      </c>
      <c r="AJ4" s="3">
        <v>2384</v>
      </c>
      <c r="AK4" s="3">
        <v>9.992562301263881E-05</v>
      </c>
      <c r="AL4" s="3">
        <v>0</v>
      </c>
      <c r="AM4" s="3">
        <v>2384</v>
      </c>
    </row>
    <row r="5" spans="1:39" ht="15.75">
      <c r="A5" s="3">
        <v>3</v>
      </c>
      <c r="B5" s="3">
        <v>0.00013923018066582768</v>
      </c>
      <c r="F5" s="47" t="s">
        <v>3</v>
      </c>
      <c r="G5" s="57">
        <v>1.291822222113975E-05</v>
      </c>
      <c r="H5" s="18"/>
      <c r="I5" s="21"/>
      <c r="AH5" s="3">
        <v>0.00010254592681590786</v>
      </c>
      <c r="AI5" s="3">
        <v>0</v>
      </c>
      <c r="AJ5" s="3">
        <v>1457</v>
      </c>
      <c r="AK5" s="3">
        <v>0.00010123577491427334</v>
      </c>
      <c r="AL5" s="3">
        <v>0</v>
      </c>
      <c r="AM5" s="3">
        <v>2384</v>
      </c>
    </row>
    <row r="6" spans="1:39" ht="15.75">
      <c r="A6" s="3">
        <v>4</v>
      </c>
      <c r="B6" s="3">
        <v>9.861547111100428E-05</v>
      </c>
      <c r="D6" s="9"/>
      <c r="E6" s="9"/>
      <c r="F6" s="48" t="s">
        <v>4</v>
      </c>
      <c r="G6" s="57">
        <v>0.00013923018066582768</v>
      </c>
      <c r="H6" s="19"/>
      <c r="I6" s="21"/>
      <c r="AH6" s="3">
        <v>0.00010385607871754239</v>
      </c>
      <c r="AI6" s="3">
        <v>0</v>
      </c>
      <c r="AJ6" s="3">
        <v>900</v>
      </c>
      <c r="AK6" s="3">
        <v>0.00010123577491427334</v>
      </c>
      <c r="AL6" s="3">
        <v>0</v>
      </c>
      <c r="AM6" s="3">
        <v>1457</v>
      </c>
    </row>
    <row r="7" spans="1:39" ht="16.5" thickBot="1">
      <c r="A7" s="3">
        <v>5</v>
      </c>
      <c r="B7" s="3">
        <v>0.000112699098050752</v>
      </c>
      <c r="D7" s="9"/>
      <c r="E7" s="9"/>
      <c r="F7" s="49" t="s">
        <v>5</v>
      </c>
      <c r="G7" s="58">
        <v>9.861547111100428E-05</v>
      </c>
      <c r="H7" s="20"/>
      <c r="I7" s="22"/>
      <c r="AH7" s="3">
        <v>0.00010516623061917692</v>
      </c>
      <c r="AI7" s="3">
        <v>2</v>
      </c>
      <c r="AJ7" s="3">
        <v>537</v>
      </c>
      <c r="AK7" s="3">
        <v>0.00010254592681590786</v>
      </c>
      <c r="AL7" s="3">
        <v>0</v>
      </c>
      <c r="AM7" s="3">
        <v>1457</v>
      </c>
    </row>
    <row r="8" spans="1:39" ht="16.5" thickBot="1">
      <c r="A8" s="3">
        <v>6</v>
      </c>
      <c r="B8" s="3">
        <v>0.00010505789059383832</v>
      </c>
      <c r="D8" s="9"/>
      <c r="E8" s="9"/>
      <c r="F8" s="11"/>
      <c r="G8" s="15"/>
      <c r="H8" s="15"/>
      <c r="I8" s="17"/>
      <c r="J8" s="12"/>
      <c r="K8" s="12"/>
      <c r="AH8" s="3">
        <v>0.00010647638252081144</v>
      </c>
      <c r="AI8" s="3">
        <v>0</v>
      </c>
      <c r="AJ8" s="3">
        <v>373</v>
      </c>
      <c r="AK8" s="3">
        <v>0.00010254592681590786</v>
      </c>
      <c r="AL8" s="3">
        <v>0</v>
      </c>
      <c r="AM8" s="3">
        <v>900</v>
      </c>
    </row>
    <row r="9" spans="1:39" ht="15.75">
      <c r="A9" s="3">
        <v>7</v>
      </c>
      <c r="B9" s="3">
        <v>0.00011298913324336102</v>
      </c>
      <c r="D9" s="9"/>
      <c r="E9" s="9"/>
      <c r="F9" s="8"/>
      <c r="G9" s="12"/>
      <c r="H9" s="12"/>
      <c r="I9" s="67"/>
      <c r="J9" s="12"/>
      <c r="K9" s="12"/>
      <c r="AH9" s="3">
        <v>0.00010778653442244597</v>
      </c>
      <c r="AI9" s="3">
        <v>0</v>
      </c>
      <c r="AJ9" s="3">
        <v>224</v>
      </c>
      <c r="AK9" s="3">
        <v>0.00010385607871754239</v>
      </c>
      <c r="AL9" s="3">
        <v>0</v>
      </c>
      <c r="AM9" s="3">
        <v>900</v>
      </c>
    </row>
    <row r="10" spans="1:39" ht="15.75">
      <c r="A10" s="3">
        <v>8</v>
      </c>
      <c r="B10" s="3">
        <v>0.00010397529166774987</v>
      </c>
      <c r="D10" s="9"/>
      <c r="E10" s="9"/>
      <c r="F10" s="10"/>
      <c r="G10" s="12"/>
      <c r="H10" s="12"/>
      <c r="I10" s="67"/>
      <c r="J10" s="12"/>
      <c r="K10" s="12"/>
      <c r="AH10" s="3">
        <v>0.0001090966863240805</v>
      </c>
      <c r="AI10" s="3">
        <v>0</v>
      </c>
      <c r="AJ10" s="3">
        <v>131</v>
      </c>
      <c r="AK10" s="3">
        <v>0.00010385607871754239</v>
      </c>
      <c r="AL10" s="3">
        <v>2</v>
      </c>
      <c r="AM10" s="3">
        <v>537</v>
      </c>
    </row>
    <row r="11" spans="1:39" ht="15.75">
      <c r="A11" s="3">
        <v>9</v>
      </c>
      <c r="B11" s="3">
        <v>0.00010963944637214556</v>
      </c>
      <c r="D11" s="9"/>
      <c r="E11" s="9"/>
      <c r="F11" s="10"/>
      <c r="G11" s="12"/>
      <c r="H11" s="12"/>
      <c r="I11" s="67"/>
      <c r="J11" s="12"/>
      <c r="K11" s="12"/>
      <c r="AH11" s="3">
        <v>0.00011040683822571502</v>
      </c>
      <c r="AI11" s="3">
        <v>1</v>
      </c>
      <c r="AJ11" s="3">
        <v>105</v>
      </c>
      <c r="AK11" s="3">
        <v>0.00010516623061917692</v>
      </c>
      <c r="AL11" s="3">
        <v>2</v>
      </c>
      <c r="AM11" s="3">
        <v>537</v>
      </c>
    </row>
    <row r="12" spans="1:39" ht="15.75">
      <c r="A12" s="3">
        <v>10</v>
      </c>
      <c r="B12" s="3">
        <v>0.00013298206494207342</v>
      </c>
      <c r="D12" s="13">
        <v>2</v>
      </c>
      <c r="E12" s="9"/>
      <c r="F12" s="10"/>
      <c r="G12" s="12"/>
      <c r="H12" s="12"/>
      <c r="I12" s="67"/>
      <c r="J12" s="12"/>
      <c r="K12" s="12"/>
      <c r="AH12" s="3">
        <v>0.00011171699012734955</v>
      </c>
      <c r="AI12" s="3">
        <v>0</v>
      </c>
      <c r="AJ12" s="3">
        <v>65</v>
      </c>
      <c r="AK12" s="3">
        <v>0.00010516623061917692</v>
      </c>
      <c r="AL12" s="3">
        <v>0</v>
      </c>
      <c r="AM12" s="3">
        <v>373</v>
      </c>
    </row>
    <row r="13" spans="4:39" ht="15.75">
      <c r="D13" s="9"/>
      <c r="E13" s="9"/>
      <c r="F13" s="10"/>
      <c r="G13" s="12"/>
      <c r="H13" s="12"/>
      <c r="I13" s="67"/>
      <c r="J13" s="12"/>
      <c r="K13" s="12"/>
      <c r="AH13" s="3">
        <v>0.00011302714202898407</v>
      </c>
      <c r="AI13" s="3">
        <v>3</v>
      </c>
      <c r="AJ13" s="3">
        <v>36</v>
      </c>
      <c r="AK13" s="3">
        <v>0.00010647638252081144</v>
      </c>
      <c r="AL13" s="3">
        <v>0</v>
      </c>
      <c r="AM13" s="3">
        <v>373</v>
      </c>
    </row>
    <row r="14" spans="4:39" ht="15.75">
      <c r="D14" s="14"/>
      <c r="E14" s="14"/>
      <c r="F14" s="10"/>
      <c r="G14" s="12"/>
      <c r="H14" s="12"/>
      <c r="I14" s="67"/>
      <c r="J14" s="12"/>
      <c r="K14" s="12"/>
      <c r="AH14" s="3">
        <v>0.0001143372939306186</v>
      </c>
      <c r="AI14" s="3">
        <v>0</v>
      </c>
      <c r="AJ14" s="3">
        <v>28</v>
      </c>
      <c r="AK14" s="3">
        <v>0.00010647638252081144</v>
      </c>
      <c r="AL14" s="3">
        <v>0</v>
      </c>
      <c r="AM14" s="3">
        <v>224</v>
      </c>
    </row>
    <row r="15" spans="4:39" ht="15.75">
      <c r="D15" s="42">
        <v>1</v>
      </c>
      <c r="E15" s="9"/>
      <c r="F15" s="10"/>
      <c r="G15" s="12"/>
      <c r="H15" s="12"/>
      <c r="I15" s="67"/>
      <c r="J15" s="12"/>
      <c r="K15" s="12"/>
      <c r="AH15" s="3">
        <v>0.00011564744583225313</v>
      </c>
      <c r="AI15" s="3">
        <v>0</v>
      </c>
      <c r="AJ15" s="3">
        <v>15</v>
      </c>
      <c r="AK15" s="3">
        <v>0.00010778653442244597</v>
      </c>
      <c r="AL15" s="3">
        <v>0</v>
      </c>
      <c r="AM15" s="3">
        <v>224</v>
      </c>
    </row>
    <row r="16" spans="4:39" ht="15.75">
      <c r="D16" s="9"/>
      <c r="E16" s="9"/>
      <c r="F16" s="10"/>
      <c r="G16" s="12"/>
      <c r="H16" s="12"/>
      <c r="I16" s="67"/>
      <c r="J16" s="12"/>
      <c r="K16" s="12"/>
      <c r="AH16" s="3">
        <v>0.00011695759773388765</v>
      </c>
      <c r="AI16" s="3">
        <v>0</v>
      </c>
      <c r="AJ16" s="3">
        <v>13</v>
      </c>
      <c r="AK16" s="3">
        <v>0.00010778653442244597</v>
      </c>
      <c r="AL16" s="3">
        <v>0</v>
      </c>
      <c r="AM16" s="3">
        <v>131</v>
      </c>
    </row>
    <row r="17" spans="4:39" ht="15.75">
      <c r="D17" s="9"/>
      <c r="E17" s="9"/>
      <c r="F17" s="10"/>
      <c r="G17" s="12"/>
      <c r="H17" s="12"/>
      <c r="I17" s="67"/>
      <c r="J17" s="12"/>
      <c r="K17" s="12"/>
      <c r="AH17" s="3">
        <v>0.00011826774963552218</v>
      </c>
      <c r="AI17" s="3">
        <v>0</v>
      </c>
      <c r="AJ17" s="3">
        <v>7</v>
      </c>
      <c r="AK17" s="3">
        <v>0.0001090966863240805</v>
      </c>
      <c r="AL17" s="3">
        <v>0</v>
      </c>
      <c r="AM17" s="3">
        <v>131</v>
      </c>
    </row>
    <row r="18" spans="4:39" ht="16.5" thickBot="1">
      <c r="D18" s="9"/>
      <c r="E18" s="9"/>
      <c r="F18" s="11"/>
      <c r="G18" s="15"/>
      <c r="H18" s="15"/>
      <c r="I18" s="17"/>
      <c r="J18" s="12"/>
      <c r="K18" s="12"/>
      <c r="AH18" s="3">
        <v>0.0001195779015371567</v>
      </c>
      <c r="AI18" s="3">
        <v>0</v>
      </c>
      <c r="AJ18" s="3">
        <v>4</v>
      </c>
      <c r="AK18" s="3">
        <v>0.0001090966863240805</v>
      </c>
      <c r="AL18" s="3">
        <v>1</v>
      </c>
      <c r="AM18" s="3">
        <v>105</v>
      </c>
    </row>
    <row r="19" spans="4:39" ht="15.75">
      <c r="D19" s="9"/>
      <c r="E19" s="9"/>
      <c r="G19" s="16">
        <v>1</v>
      </c>
      <c r="AH19" s="3">
        <v>0.00012088805343879123</v>
      </c>
      <c r="AI19" s="3">
        <v>0</v>
      </c>
      <c r="AJ19" s="3">
        <v>6</v>
      </c>
      <c r="AK19" s="3">
        <v>0.00011040683822571502</v>
      </c>
      <c r="AL19" s="3">
        <v>1</v>
      </c>
      <c r="AM19" s="3">
        <v>105</v>
      </c>
    </row>
    <row r="20" spans="34:39" ht="15.75">
      <c r="AH20" s="3">
        <v>0.00012219820534042577</v>
      </c>
      <c r="AI20" s="3">
        <v>0</v>
      </c>
      <c r="AJ20" s="3">
        <v>4</v>
      </c>
      <c r="AK20" s="3">
        <v>0.00011040683822571502</v>
      </c>
      <c r="AL20" s="3">
        <v>0</v>
      </c>
      <c r="AM20" s="3">
        <v>65</v>
      </c>
    </row>
    <row r="21" spans="6:39" ht="15.75">
      <c r="F21" s="66" t="s">
        <v>45</v>
      </c>
      <c r="AH21" s="3">
        <v>0.0001235083572420603</v>
      </c>
      <c r="AI21" s="3">
        <v>1</v>
      </c>
      <c r="AJ21" s="3">
        <v>2</v>
      </c>
      <c r="AK21" s="3">
        <v>0.00011171699012734955</v>
      </c>
      <c r="AL21" s="3">
        <v>0</v>
      </c>
      <c r="AM21" s="3">
        <v>65</v>
      </c>
    </row>
    <row r="22" spans="34:39" ht="15.75">
      <c r="AH22" s="3">
        <v>0.00012481850914369483</v>
      </c>
      <c r="AI22" s="3">
        <v>0</v>
      </c>
      <c r="AJ22" s="3">
        <v>2</v>
      </c>
      <c r="AK22" s="3">
        <v>0.00011171699012734955</v>
      </c>
      <c r="AL22" s="3">
        <v>3</v>
      </c>
      <c r="AM22" s="3">
        <v>36</v>
      </c>
    </row>
    <row r="23" spans="34:39" ht="15.75">
      <c r="AH23" s="3">
        <v>0.00012612866104532935</v>
      </c>
      <c r="AI23" s="3">
        <v>0</v>
      </c>
      <c r="AJ23" s="3">
        <v>0</v>
      </c>
      <c r="AK23" s="3">
        <v>0.00011302714202898407</v>
      </c>
      <c r="AL23" s="3">
        <v>3</v>
      </c>
      <c r="AM23" s="3">
        <v>36</v>
      </c>
    </row>
    <row r="24" spans="34:39" ht="15.75">
      <c r="AH24" s="3">
        <v>0.00012743881294696388</v>
      </c>
      <c r="AI24" s="3">
        <v>0</v>
      </c>
      <c r="AJ24" s="3">
        <v>0</v>
      </c>
      <c r="AK24" s="3">
        <v>0.00011302714202898407</v>
      </c>
      <c r="AL24" s="3">
        <v>0</v>
      </c>
      <c r="AM24" s="3">
        <v>28</v>
      </c>
    </row>
    <row r="25" spans="34:39" ht="15.75">
      <c r="AH25" s="3">
        <v>0.0001287489648485984</v>
      </c>
      <c r="AI25" s="3">
        <v>0</v>
      </c>
      <c r="AJ25" s="3">
        <v>0</v>
      </c>
      <c r="AK25" s="3">
        <v>0.0001143372939306186</v>
      </c>
      <c r="AL25" s="3">
        <v>0</v>
      </c>
      <c r="AM25" s="3">
        <v>28</v>
      </c>
    </row>
    <row r="26" spans="34:39" ht="15.75">
      <c r="AH26" s="3">
        <v>0.00013005911675023293</v>
      </c>
      <c r="AI26" s="3">
        <v>0</v>
      </c>
      <c r="AJ26" s="3">
        <v>0</v>
      </c>
      <c r="AK26" s="3">
        <v>0.0001143372939306186</v>
      </c>
      <c r="AL26" s="3">
        <v>0</v>
      </c>
      <c r="AM26" s="3">
        <v>15</v>
      </c>
    </row>
    <row r="27" spans="34:39" ht="15.75">
      <c r="AH27" s="3">
        <v>0.00013136926865186746</v>
      </c>
      <c r="AI27" s="3">
        <v>0</v>
      </c>
      <c r="AJ27" s="3">
        <v>0</v>
      </c>
      <c r="AK27" s="3">
        <v>0.00011564744583225313</v>
      </c>
      <c r="AL27" s="3">
        <v>0</v>
      </c>
      <c r="AM27" s="3">
        <v>15</v>
      </c>
    </row>
    <row r="28" spans="34:39" ht="15.75">
      <c r="AH28" s="3">
        <v>0.00013267942055350198</v>
      </c>
      <c r="AI28" s="3">
        <v>0</v>
      </c>
      <c r="AJ28" s="3">
        <v>0</v>
      </c>
      <c r="AK28" s="3">
        <v>0.00011564744583225313</v>
      </c>
      <c r="AL28" s="3">
        <v>0</v>
      </c>
      <c r="AM28" s="3">
        <v>13</v>
      </c>
    </row>
    <row r="29" spans="34:39" ht="15.75">
      <c r="AH29" s="3">
        <v>0.0001339895724551365</v>
      </c>
      <c r="AI29" s="3">
        <v>1</v>
      </c>
      <c r="AJ29" s="3">
        <v>0</v>
      </c>
      <c r="AK29" s="3">
        <v>0.00011695759773388765</v>
      </c>
      <c r="AL29" s="3">
        <v>0</v>
      </c>
      <c r="AM29" s="3">
        <v>13</v>
      </c>
    </row>
    <row r="30" spans="34:39" ht="15.75">
      <c r="AH30" s="3">
        <v>0.00013529972435677104</v>
      </c>
      <c r="AI30" s="3">
        <v>0</v>
      </c>
      <c r="AJ30" s="3">
        <v>0</v>
      </c>
      <c r="AK30" s="3">
        <v>0.00011695759773388765</v>
      </c>
      <c r="AL30" s="3">
        <v>0</v>
      </c>
      <c r="AM30" s="3">
        <v>7</v>
      </c>
    </row>
    <row r="31" spans="34:39" ht="15.75">
      <c r="AH31" s="3">
        <v>0.00013660987625840556</v>
      </c>
      <c r="AI31" s="3">
        <v>0</v>
      </c>
      <c r="AJ31" s="3">
        <v>0</v>
      </c>
      <c r="AK31" s="3">
        <v>0.00011826774963552218</v>
      </c>
      <c r="AL31" s="3">
        <v>0</v>
      </c>
      <c r="AM31" s="3">
        <v>7</v>
      </c>
    </row>
    <row r="32" spans="34:39" ht="15.75">
      <c r="AH32" s="3">
        <v>0.0001379200281600401</v>
      </c>
      <c r="AI32" s="3">
        <v>0</v>
      </c>
      <c r="AJ32" s="3">
        <v>0</v>
      </c>
      <c r="AK32" s="3">
        <v>0.00011826774963552218</v>
      </c>
      <c r="AL32" s="3">
        <v>0</v>
      </c>
      <c r="AM32" s="3">
        <v>4</v>
      </c>
    </row>
    <row r="33" spans="34:39" ht="15.75">
      <c r="AH33" s="3">
        <v>0.00013923018006167462</v>
      </c>
      <c r="AI33" s="3">
        <v>1</v>
      </c>
      <c r="AJ33" s="3">
        <v>1</v>
      </c>
      <c r="AK33" s="3">
        <v>0.0001195779015371567</v>
      </c>
      <c r="AL33" s="3">
        <v>0</v>
      </c>
      <c r="AM33" s="3">
        <v>4</v>
      </c>
    </row>
    <row r="34" spans="37:39" ht="15.75">
      <c r="AK34" s="3">
        <v>0.0001195779015371567</v>
      </c>
      <c r="AL34" s="3">
        <v>0</v>
      </c>
      <c r="AM34" s="3">
        <v>6</v>
      </c>
    </row>
    <row r="35" spans="37:39" ht="15.75">
      <c r="AK35" s="3">
        <v>0.00012088805343879123</v>
      </c>
      <c r="AL35" s="3">
        <v>0</v>
      </c>
      <c r="AM35" s="3">
        <v>6</v>
      </c>
    </row>
    <row r="36" spans="37:39" ht="15.75">
      <c r="AK36" s="3">
        <v>0.00012088805343879123</v>
      </c>
      <c r="AL36" s="3">
        <v>0</v>
      </c>
      <c r="AM36" s="3">
        <v>4</v>
      </c>
    </row>
    <row r="37" spans="37:39" ht="15.75">
      <c r="AK37" s="3">
        <v>0.00012219820534042577</v>
      </c>
      <c r="AL37" s="3">
        <v>0</v>
      </c>
      <c r="AM37" s="3">
        <v>4</v>
      </c>
    </row>
    <row r="38" spans="37:39" ht="15.75">
      <c r="AK38" s="3">
        <v>0.00012219820534042577</v>
      </c>
      <c r="AL38" s="3">
        <v>1</v>
      </c>
      <c r="AM38" s="3">
        <v>2</v>
      </c>
    </row>
    <row r="39" spans="37:39" ht="15.75">
      <c r="AK39" s="3">
        <v>0.0001235083572420603</v>
      </c>
      <c r="AL39" s="3">
        <v>1</v>
      </c>
      <c r="AM39" s="3">
        <v>2</v>
      </c>
    </row>
    <row r="40" spans="37:39" ht="15.75">
      <c r="AK40" s="3">
        <v>0.0001235083572420603</v>
      </c>
      <c r="AL40" s="3">
        <v>0</v>
      </c>
      <c r="AM40" s="3">
        <v>2</v>
      </c>
    </row>
    <row r="41" spans="37:39" ht="15.75">
      <c r="AK41" s="3">
        <v>0.00012481850914369483</v>
      </c>
      <c r="AL41" s="3">
        <v>0</v>
      </c>
      <c r="AM41" s="3">
        <v>2</v>
      </c>
    </row>
    <row r="42" spans="37:39" ht="15.75">
      <c r="AK42" s="3">
        <v>0.00012481850914369483</v>
      </c>
      <c r="AL42" s="3">
        <v>0</v>
      </c>
      <c r="AM42" s="3">
        <v>0</v>
      </c>
    </row>
    <row r="43" spans="37:39" ht="15.75">
      <c r="AK43" s="3">
        <v>0.00012612866104532935</v>
      </c>
      <c r="AL43" s="3">
        <v>0</v>
      </c>
      <c r="AM43" s="3">
        <v>0</v>
      </c>
    </row>
    <row r="44" spans="37:39" ht="15.75">
      <c r="AK44" s="3">
        <v>0.00012612866104532935</v>
      </c>
      <c r="AL44" s="3">
        <v>0</v>
      </c>
      <c r="AM44" s="3">
        <v>0</v>
      </c>
    </row>
    <row r="45" spans="37:39" ht="15.75">
      <c r="AK45" s="3">
        <v>0.00012743881294696388</v>
      </c>
      <c r="AL45" s="3">
        <v>0</v>
      </c>
      <c r="AM45" s="3">
        <v>0</v>
      </c>
    </row>
    <row r="46" spans="37:39" ht="15.75">
      <c r="AK46" s="3">
        <v>0.00012743881294696388</v>
      </c>
      <c r="AL46" s="3">
        <v>0</v>
      </c>
      <c r="AM46" s="3">
        <v>0</v>
      </c>
    </row>
    <row r="47" spans="37:39" ht="15.75">
      <c r="AK47" s="3">
        <v>0.0001287489648485984</v>
      </c>
      <c r="AL47" s="3">
        <v>0</v>
      </c>
      <c r="AM47" s="3">
        <v>0</v>
      </c>
    </row>
    <row r="48" spans="37:39" ht="15.75">
      <c r="AK48" s="3">
        <v>0.0001287489648485984</v>
      </c>
      <c r="AL48" s="3">
        <v>0</v>
      </c>
      <c r="AM48" s="3">
        <v>0</v>
      </c>
    </row>
    <row r="49" spans="37:39" ht="15.75">
      <c r="AK49" s="3">
        <v>0.00013005911675023293</v>
      </c>
      <c r="AL49" s="3">
        <v>0</v>
      </c>
      <c r="AM49" s="3">
        <v>0</v>
      </c>
    </row>
    <row r="50" spans="37:39" ht="15.75">
      <c r="AK50" s="3">
        <v>0.00013005911675023293</v>
      </c>
      <c r="AL50" s="3">
        <v>0</v>
      </c>
      <c r="AM50" s="3">
        <v>0</v>
      </c>
    </row>
    <row r="51" spans="37:39" ht="15.75">
      <c r="AK51" s="3">
        <v>0.00013136926865186746</v>
      </c>
      <c r="AL51" s="3">
        <v>0</v>
      </c>
      <c r="AM51" s="3">
        <v>0</v>
      </c>
    </row>
    <row r="52" spans="37:39" ht="15.75">
      <c r="AK52" s="3">
        <v>0.00013136926865186746</v>
      </c>
      <c r="AL52" s="3">
        <v>0</v>
      </c>
      <c r="AM52" s="3">
        <v>0</v>
      </c>
    </row>
    <row r="53" spans="37:39" ht="15.75">
      <c r="AK53" s="3">
        <v>0.00013267942055350198</v>
      </c>
      <c r="AL53" s="3">
        <v>0</v>
      </c>
      <c r="AM53" s="3">
        <v>0</v>
      </c>
    </row>
    <row r="54" spans="37:39" ht="15.75">
      <c r="AK54" s="3">
        <v>0.00013267942055350198</v>
      </c>
      <c r="AL54" s="3">
        <v>1</v>
      </c>
      <c r="AM54" s="3">
        <v>0</v>
      </c>
    </row>
    <row r="55" spans="37:39" ht="15.75">
      <c r="AK55" s="3">
        <v>0.0001339895724551365</v>
      </c>
      <c r="AL55" s="3">
        <v>1</v>
      </c>
      <c r="AM55" s="3">
        <v>0</v>
      </c>
    </row>
    <row r="56" spans="37:39" ht="15.75">
      <c r="AK56" s="3">
        <v>0.0001339895724551365</v>
      </c>
      <c r="AL56" s="3">
        <v>0</v>
      </c>
      <c r="AM56" s="3">
        <v>0</v>
      </c>
    </row>
    <row r="57" spans="37:39" ht="15.75">
      <c r="AK57" s="3">
        <v>0.00013529972435677104</v>
      </c>
      <c r="AL57" s="3">
        <v>0</v>
      </c>
      <c r="AM57" s="3">
        <v>0</v>
      </c>
    </row>
    <row r="58" spans="37:39" ht="15.75">
      <c r="AK58" s="3">
        <v>0.00013529972435677104</v>
      </c>
      <c r="AL58" s="3">
        <v>0</v>
      </c>
      <c r="AM58" s="3">
        <v>0</v>
      </c>
    </row>
    <row r="59" spans="37:39" ht="15.75">
      <c r="AK59" s="3">
        <v>0.00013660987625840556</v>
      </c>
      <c r="AL59" s="3">
        <v>0</v>
      </c>
      <c r="AM59" s="3">
        <v>0</v>
      </c>
    </row>
    <row r="60" spans="37:39" ht="15.75">
      <c r="AK60" s="3">
        <v>0.00013660987625840556</v>
      </c>
      <c r="AL60" s="3">
        <v>0</v>
      </c>
      <c r="AM60" s="3">
        <v>0</v>
      </c>
    </row>
    <row r="61" spans="37:39" ht="15.75">
      <c r="AK61" s="3">
        <v>0.0001379200281600401</v>
      </c>
      <c r="AL61" s="3">
        <v>0</v>
      </c>
      <c r="AM61" s="3">
        <v>0</v>
      </c>
    </row>
    <row r="62" spans="37:39" ht="15.75">
      <c r="AK62" s="3">
        <v>0.0001379200281600401</v>
      </c>
      <c r="AL62" s="3">
        <v>1</v>
      </c>
      <c r="AM62" s="3">
        <v>1</v>
      </c>
    </row>
    <row r="63" spans="37:39" ht="15.75">
      <c r="AK63" s="3">
        <v>0.00013923018006167462</v>
      </c>
      <c r="AL63" s="3">
        <v>1</v>
      </c>
      <c r="AM63" s="3">
        <v>1</v>
      </c>
    </row>
    <row r="64" spans="37:39" ht="15.75">
      <c r="AK64" s="3">
        <v>0.00013923018006167462</v>
      </c>
      <c r="AL64" s="3">
        <v>0</v>
      </c>
      <c r="AM64" s="3">
        <v>0</v>
      </c>
    </row>
  </sheetData>
  <mergeCells count="2">
    <mergeCell ref="F3:G3"/>
    <mergeCell ref="H3:I3"/>
  </mergeCells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O501"/>
  <sheetViews>
    <sheetView workbookViewId="0" topLeftCell="A1">
      <selection activeCell="C31" sqref="C31"/>
    </sheetView>
  </sheetViews>
  <sheetFormatPr defaultColWidth="9.140625" defaultRowHeight="12.75"/>
  <cols>
    <col min="1" max="1" width="26.140625" style="0" bestFit="1" customWidth="1"/>
    <col min="7" max="8" width="10.57421875" style="0" customWidth="1"/>
  </cols>
  <sheetData>
    <row r="1" spans="1:41" s="35" customFormat="1" ht="18" customHeight="1" thickBot="1">
      <c r="A1" s="38" t="s">
        <v>30</v>
      </c>
      <c r="B1" s="38" t="s">
        <v>31</v>
      </c>
      <c r="C1" s="38" t="s">
        <v>59</v>
      </c>
      <c r="D1" s="38" t="s">
        <v>32</v>
      </c>
      <c r="F1"/>
      <c r="G1" s="37" t="s">
        <v>24</v>
      </c>
      <c r="H1"/>
      <c r="I1"/>
      <c r="J1"/>
      <c r="K1"/>
      <c r="L1"/>
      <c r="M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7" ht="12.75">
      <c r="A2" s="39">
        <f>SUM(D2:D501)</f>
        <v>45.38252949867948</v>
      </c>
      <c r="B2">
        <f>NORMDIST(+$A$4+$A$6*0,0,1,1)</f>
        <v>0.0006692630735734006</v>
      </c>
      <c r="C2">
        <v>0</v>
      </c>
      <c r="D2">
        <f aca="true" t="shared" si="0" ref="D2:D33">(0-B2)^2</f>
        <v>4.479130616489151E-07</v>
      </c>
      <c r="G2" s="37" t="s">
        <v>25</v>
      </c>
    </row>
    <row r="3" spans="1:7" ht="12.75">
      <c r="A3" s="39" t="s">
        <v>7</v>
      </c>
      <c r="B3">
        <f>NORMDIST(+$A$4+$A$6*100,0,1,1)</f>
        <v>0.0007008740932235025</v>
      </c>
      <c r="C3">
        <v>0</v>
      </c>
      <c r="D3">
        <f t="shared" si="0"/>
        <v>4.912244945518668E-07</v>
      </c>
      <c r="G3" s="37" t="s">
        <v>26</v>
      </c>
    </row>
    <row r="4" spans="1:7" ht="12.75">
      <c r="A4" s="39">
        <v>-3.207589048326522</v>
      </c>
      <c r="B4">
        <f>NORMDIST(+$A$4+$A$6*200,0,1,1)</f>
        <v>0.0007338568035986093</v>
      </c>
      <c r="C4">
        <v>0</v>
      </c>
      <c r="D4">
        <f t="shared" si="0"/>
        <v>5.385458081879678E-07</v>
      </c>
      <c r="G4" s="37" t="s">
        <v>27</v>
      </c>
    </row>
    <row r="5" spans="1:7" ht="12.75">
      <c r="A5" s="40" t="s">
        <v>21</v>
      </c>
      <c r="B5">
        <f>NORMDIST(+$A$4+$A$6*300,0,1,1)</f>
        <v>0.0007682646409936655</v>
      </c>
      <c r="C5">
        <v>0</v>
      </c>
      <c r="D5">
        <f t="shared" si="0"/>
        <v>5.902305586011258E-07</v>
      </c>
      <c r="G5" s="37" t="s">
        <v>12</v>
      </c>
    </row>
    <row r="6" spans="1:4" ht="12.75">
      <c r="A6" s="39">
        <v>0.00013298206494207342</v>
      </c>
      <c r="B6">
        <f>NORMDIST(+$A$4+$A$6*400,0,1,1)</f>
        <v>0.0008041528357153327</v>
      </c>
      <c r="C6">
        <v>0</v>
      </c>
      <c r="D6">
        <f t="shared" si="0"/>
        <v>6.466617831890108E-07</v>
      </c>
    </row>
    <row r="7" spans="1:4" ht="12.75">
      <c r="A7" s="39"/>
      <c r="B7">
        <f>NORMDIST(+$A$4+$A$6*500,0,1,1)</f>
        <v>0.0008415784594987263</v>
      </c>
      <c r="C7">
        <v>0</v>
      </c>
      <c r="D7">
        <f t="shared" si="0"/>
        <v>7.082543034922494E-07</v>
      </c>
    </row>
    <row r="8" spans="1:4" ht="12.75">
      <c r="A8" s="39"/>
      <c r="B8">
        <f>NORMDIST(+$A$4+$A$6*600,0,1,1)</f>
        <v>0.0008806004736465756</v>
      </c>
      <c r="C8">
        <v>0</v>
      </c>
      <c r="D8">
        <f t="shared" si="0"/>
        <v>7.754571941865733E-07</v>
      </c>
    </row>
    <row r="9" spans="1:4" ht="12.75">
      <c r="A9" s="39"/>
      <c r="B9">
        <f>NORMDIST(+$A$4+$A$6*700,0,1,1)</f>
        <v>0.0009212797778552773</v>
      </c>
      <c r="C9">
        <v>0</v>
      </c>
      <c r="D9">
        <f t="shared" si="0"/>
        <v>8.487564290850691E-07</v>
      </c>
    </row>
    <row r="10" spans="1:4" ht="12.75">
      <c r="A10" s="39"/>
      <c r="B10">
        <f>NORMDIST(+$A$4+$A$6*800,0,1,1)</f>
        <v>0.0009636792597249588</v>
      </c>
      <c r="C10">
        <v>0</v>
      </c>
      <c r="D10">
        <f t="shared" si="0"/>
        <v>9.286777156240447E-07</v>
      </c>
    </row>
    <row r="11" spans="2:4" ht="12.75">
      <c r="B11">
        <f>NORMDIST(+$A$4+$A$6*900,0,1,1)</f>
        <v>0.0010078638449426691</v>
      </c>
      <c r="C11">
        <v>0</v>
      </c>
      <c r="D11">
        <f t="shared" si="0"/>
        <v>1.0157895299426205E-06</v>
      </c>
    </row>
    <row r="12" spans="2:4" ht="12.75">
      <c r="B12">
        <f>NORMDIST(+$A$4+$A$6*1000,0,1,1)</f>
        <v>0.0010539005481078334</v>
      </c>
      <c r="C12">
        <v>0</v>
      </c>
      <c r="D12">
        <f t="shared" si="0"/>
        <v>1.1107063653019917E-06</v>
      </c>
    </row>
    <row r="13" spans="2:4" ht="12.75">
      <c r="B13">
        <f>NORMDIST(+$A$4+$A$6*1100,0,1,1)</f>
        <v>0.0011018585241959755</v>
      </c>
      <c r="C13">
        <v>0</v>
      </c>
      <c r="D13">
        <f t="shared" si="0"/>
        <v>1.214092207343333E-06</v>
      </c>
    </row>
    <row r="14" spans="2:4" ht="12.75">
      <c r="B14">
        <f>NORMDIST(+$A$4+$A$6*1200,0,1,1)</f>
        <v>0.0011518091206283998</v>
      </c>
      <c r="C14">
        <v>0</v>
      </c>
      <c r="D14">
        <f t="shared" si="0"/>
        <v>1.3266642503627675E-06</v>
      </c>
    </row>
    <row r="15" spans="2:4" ht="12.75">
      <c r="B15">
        <f>NORMDIST(+$A$4+$A$6*1300,0,1,1)</f>
        <v>0.0012038259299360643</v>
      </c>
      <c r="C15">
        <v>0</v>
      </c>
      <c r="D15">
        <f t="shared" si="0"/>
        <v>1.44919686958643E-06</v>
      </c>
    </row>
    <row r="16" spans="2:4" ht="12.75">
      <c r="B16">
        <f>NORMDIST(+$A$4+$A$6*1400,0,1,1)</f>
        <v>0.0012579848429898899</v>
      </c>
      <c r="C16">
        <v>0</v>
      </c>
      <c r="D16">
        <f t="shared" si="0"/>
        <v>1.5825258651922979E-06</v>
      </c>
    </row>
    <row r="17" spans="2:4" ht="12.75">
      <c r="B17">
        <f>NORMDIST(+$A$4+$A$6*1500,0,1,1)</f>
        <v>0.0013143641027710817</v>
      </c>
      <c r="C17">
        <v>0</v>
      </c>
      <c r="D17">
        <f t="shared" si="0"/>
        <v>1.7275529946532307E-06</v>
      </c>
    </row>
    <row r="18" spans="2:4" ht="12.75">
      <c r="B18">
        <f>NORMDIST(+$A$4+$A$6*1600,0,1,1)</f>
        <v>0.0013730443586636998</v>
      </c>
      <c r="C18">
        <v>0</v>
      </c>
      <c r="D18">
        <f t="shared" si="0"/>
        <v>1.8852508108582107E-06</v>
      </c>
    </row>
    <row r="19" spans="2:4" ht="12.75">
      <c r="B19">
        <f>NORMDIST(+$A$4+$A$6*1700,0,1,1)</f>
        <v>0.0014341087212306203</v>
      </c>
      <c r="C19">
        <v>0</v>
      </c>
      <c r="D19">
        <f t="shared" si="0"/>
        <v>2.056667824309725E-06</v>
      </c>
    </row>
    <row r="20" spans="2:4" ht="12.75">
      <c r="B20">
        <f>NORMDIST(+$A$4+$A$6*1800,0,1,1)</f>
        <v>0.0014976428174525713</v>
      </c>
      <c r="C20">
        <v>0</v>
      </c>
      <c r="D20">
        <f t="shared" si="0"/>
        <v>2.242934008667276E-06</v>
      </c>
    </row>
    <row r="21" spans="2:4" ht="12.75">
      <c r="B21">
        <f>NORMDIST(+$A$4+$A$6*1900,0,1,1)</f>
        <v>0.0015637348463939382</v>
      </c>
      <c r="C21">
        <v>0</v>
      </c>
      <c r="D21">
        <f t="shared" si="0"/>
        <v>2.4452666698266735E-06</v>
      </c>
    </row>
    <row r="22" spans="2:4" ht="12.75">
      <c r="B22">
        <f>NORMDIST(+$A$4+$A$6*2000,0,1,1)</f>
        <v>0.0016324756352645853</v>
      </c>
      <c r="C22">
        <v>0</v>
      </c>
      <c r="D22">
        <f t="shared" si="0"/>
        <v>2.6649766997325113E-06</v>
      </c>
    </row>
    <row r="23" spans="2:4" ht="12.75">
      <c r="B23">
        <f>NORMDIST(+$A$4+$A$6*2100,0,1,1)</f>
        <v>0.001703958695842167</v>
      </c>
      <c r="C23">
        <v>0</v>
      </c>
      <c r="D23">
        <f t="shared" si="0"/>
        <v>2.903475237136139E-06</v>
      </c>
    </row>
    <row r="24" spans="2:4" ht="12.75">
      <c r="B24">
        <f>NORMDIST(+$A$4+$A$6*2200,0,1,1)</f>
        <v>0.0017782802812212894</v>
      </c>
      <c r="C24">
        <v>0</v>
      </c>
      <c r="D24">
        <f t="shared" si="0"/>
        <v>3.1622807585804684E-06</v>
      </c>
    </row>
    <row r="25" spans="2:4" ht="12.75">
      <c r="B25">
        <f>NORMDIST(+$A$4+$A$6*2300,0,1,1)</f>
        <v>0.0018555394428454441</v>
      </c>
      <c r="C25">
        <v>0</v>
      </c>
      <c r="D25">
        <f t="shared" si="0"/>
        <v>3.4430266239551813E-06</v>
      </c>
    </row>
    <row r="26" spans="2:4" ht="12.75">
      <c r="B26">
        <f>NORMDIST(+$A$4+$A$6*2400,0,1,1)</f>
        <v>0.0019358380877890768</v>
      </c>
      <c r="C26">
        <v>0</v>
      </c>
      <c r="D26">
        <f t="shared" si="0"/>
        <v>3.7474691021348697E-06</v>
      </c>
    </row>
    <row r="27" spans="2:4" ht="12.75">
      <c r="B27">
        <f>NORMDIST(+$A$4+$A$6*2500,0,1,1)</f>
        <v>0.0020192810362406055</v>
      </c>
      <c r="C27">
        <v>0</v>
      </c>
      <c r="D27">
        <f t="shared" si="0"/>
        <v>4.0774959033209336E-06</v>
      </c>
    </row>
    <row r="28" spans="2:4" ht="12.75">
      <c r="B28">
        <f>NORMDIST(+$A$4+$A$6*2600,0,1,1)</f>
        <v>0.0021059760791493076</v>
      </c>
      <c r="C28">
        <v>0</v>
      </c>
      <c r="D28">
        <f t="shared" si="0"/>
        <v>4.435135245949091E-06</v>
      </c>
    </row>
    <row r="29" spans="2:4" ht="12.75">
      <c r="B29">
        <f>NORMDIST(+$A$4+$A$6*2700,0,1,1)</f>
        <v>0.0021960340359861164</v>
      </c>
      <c r="C29">
        <v>0</v>
      </c>
      <c r="D29">
        <f t="shared" si="0"/>
        <v>4.822565487209471E-06</v>
      </c>
    </row>
    <row r="30" spans="2:4" ht="12.75">
      <c r="B30">
        <f>NORMDIST(+$A$4+$A$6*2800,0,1,1)</f>
        <v>0.002289568812570808</v>
      </c>
      <c r="C30">
        <v>0</v>
      </c>
      <c r="D30">
        <f t="shared" si="0"/>
        <v>5.2421253474969E-06</v>
      </c>
    </row>
    <row r="31" spans="2:4" ht="12.75">
      <c r="B31">
        <f>NORMDIST(+$A$4+$A$6*2900,0,1,1)</f>
        <v>0.002386697458920839</v>
      </c>
      <c r="C31">
        <v>0</v>
      </c>
      <c r="D31">
        <f t="shared" si="0"/>
        <v>5.69632476041919E-06</v>
      </c>
    </row>
    <row r="32" spans="2:4" ht="12.75">
      <c r="B32">
        <f>NORMDIST(+$A$4+$A$6*3000,0,1,1)</f>
        <v>0.0024875402270607694</v>
      </c>
      <c r="C32">
        <v>0</v>
      </c>
      <c r="D32">
        <f t="shared" si="0"/>
        <v>6.187856381245544E-06</v>
      </c>
    </row>
    <row r="33" spans="2:4" ht="12.75">
      <c r="B33">
        <f>NORMDIST(+$A$4+$A$6*3100,0,1,1)</f>
        <v>0.0025922206287529725</v>
      </c>
      <c r="C33">
        <v>0</v>
      </c>
      <c r="D33">
        <f t="shared" si="0"/>
        <v>6.719607788132456E-06</v>
      </c>
    </row>
    <row r="34" spans="2:4" ht="12.75">
      <c r="B34">
        <f>NORMDIST(+$A$4+$A$6*3200,0,1,1)</f>
        <v>0.0027008654930783527</v>
      </c>
      <c r="C34">
        <v>0</v>
      </c>
      <c r="D34">
        <f aca="true" t="shared" si="1" ref="D34:D65">(0-B34)^2</f>
        <v>7.294674411701373E-06</v>
      </c>
    </row>
    <row r="35" spans="2:4" ht="12.75">
      <c r="B35">
        <f>NORMDIST(+$A$4+$A$6*3300,0,1,1)</f>
        <v>0.002813605023824217</v>
      </c>
      <c r="C35">
        <v>0</v>
      </c>
      <c r="D35">
        <f t="shared" si="1"/>
        <v>7.916373230088874E-06</v>
      </c>
    </row>
    <row r="36" spans="2:4" ht="12.75">
      <c r="B36">
        <f>NORMDIST(+$A$4+$A$6*3400,0,1,1)</f>
        <v>0.002930572856609359</v>
      </c>
      <c r="C36">
        <v>0</v>
      </c>
      <c r="D36">
        <f t="shared" si="1"/>
        <v>8.58825726789554E-06</v>
      </c>
    </row>
    <row r="37" spans="2:4" ht="12.75">
      <c r="B37">
        <f>NORMDIST(+$A$4+$A$6*3500,0,1,1)</f>
        <v>0.003051906115691616</v>
      </c>
      <c r="C37">
        <v>0</v>
      </c>
      <c r="D37">
        <f t="shared" si="1"/>
        <v>9.314130938995889E-06</v>
      </c>
    </row>
    <row r="38" spans="2:4" ht="12.75">
      <c r="B38">
        <f>NORMDIST(+$A$4+$A$6*3600,0,1,1)</f>
        <v>0.00317774547039007</v>
      </c>
      <c r="C38">
        <v>0</v>
      </c>
      <c r="D38">
        <f t="shared" si="1"/>
        <v>1.0098066274584606E-05</v>
      </c>
    </row>
    <row r="39" spans="2:4" ht="12.75">
      <c r="B39">
        <f>NORMDIST(+$A$4+$A$6*3700,0,1,1)</f>
        <v>0.00330823519106338</v>
      </c>
      <c r="C39">
        <v>0</v>
      </c>
      <c r="D39">
        <f t="shared" si="1"/>
        <v>1.0944420079390158E-05</v>
      </c>
    </row>
    <row r="40" spans="2:4" ht="12.75">
      <c r="B40">
        <f>NORMDIST(+$A$4+$A$6*3800,0,1,1)</f>
        <v>0.003443523204569532</v>
      </c>
      <c r="C40">
        <v>0</v>
      </c>
      <c r="D40">
        <f t="shared" si="1"/>
        <v>1.1857852060408819E-05</v>
      </c>
    </row>
    <row r="41" spans="2:4" ht="12.75">
      <c r="B41">
        <f>NORMDIST(+$A$4+$A$6*3900,0,1,1)</f>
        <v>0.003583761149138942</v>
      </c>
      <c r="C41">
        <v>0</v>
      </c>
      <c r="D41">
        <f t="shared" si="1"/>
        <v>1.2843343974077671E-05</v>
      </c>
    </row>
    <row r="42" spans="2:4" ht="12.75">
      <c r="B42">
        <f>NORMDIST(+$A$4+$A$6*4000,0,1,1)</f>
        <v>0.003729104428600971</v>
      </c>
      <c r="C42">
        <v>0</v>
      </c>
      <c r="D42">
        <f t="shared" si="1"/>
        <v>1.3906219839411375E-05</v>
      </c>
    </row>
    <row r="43" spans="2:4" ht="12.75">
      <c r="B43">
        <f>NORMDIST(+$A$4+$A$6*4100,0,1,1)</f>
        <v>0.0038797122658735805</v>
      </c>
      <c r="C43">
        <v>0</v>
      </c>
      <c r="D43">
        <f t="shared" si="1"/>
        <v>1.5052167265969912E-05</v>
      </c>
    </row>
    <row r="44" spans="2:4" ht="12.75">
      <c r="B44">
        <f>NORMDIST(+$A$4+$A$6*4200,0,1,1)</f>
        <v>0.0040357477556549615</v>
      </c>
      <c r="C44">
        <v>0</v>
      </c>
      <c r="D44">
        <f t="shared" si="1"/>
        <v>1.628725994727406E-05</v>
      </c>
    </row>
    <row r="45" spans="2:4" ht="12.75">
      <c r="B45">
        <f>NORMDIST(+$A$4+$A$6*4300,0,1,1)</f>
        <v>0.004197377916234646</v>
      </c>
      <c r="C45">
        <v>0</v>
      </c>
      <c r="D45">
        <f t="shared" si="1"/>
        <v>1.7617981371694298E-05</v>
      </c>
    </row>
    <row r="46" spans="2:4" ht="12.75">
      <c r="B46">
        <f>NORMDIST(+$A$4+$A$6*4400,0,1,1)</f>
        <v>0.004364773740347383</v>
      </c>
      <c r="C46">
        <v>0</v>
      </c>
      <c r="D46">
        <f t="shared" si="1"/>
        <v>1.9051249804426084E-05</v>
      </c>
    </row>
    <row r="47" spans="2:4" ht="12.75">
      <c r="B47">
        <f>NORMDIST(+$A$4+$A$6*4500,0,1,1)</f>
        <v>0.004538110244989513</v>
      </c>
      <c r="C47">
        <v>0</v>
      </c>
      <c r="D47">
        <f t="shared" si="1"/>
        <v>2.0594444595678774E-05</v>
      </c>
    </row>
    <row r="48" spans="2:4" ht="12.75">
      <c r="B48">
        <f>NORMDIST(+$A$4+$A$6*4600,0,1,1)</f>
        <v>0.00471756652011357</v>
      </c>
      <c r="C48">
        <v>0</v>
      </c>
      <c r="D48">
        <f t="shared" si="1"/>
        <v>2.2255433871696457E-05</v>
      </c>
    </row>
    <row r="49" spans="2:4" ht="12.75">
      <c r="B49">
        <f>NORMDIST(+$A$4+$A$6*4700,0,1,1)</f>
        <v>0.004903325776121958</v>
      </c>
      <c r="C49">
        <v>0</v>
      </c>
      <c r="D49">
        <f t="shared" si="1"/>
        <v>2.4042603666782006E-05</v>
      </c>
    </row>
    <row r="50" spans="1:4" ht="12.75">
      <c r="A50" s="36"/>
      <c r="B50">
        <f>NORMDIST(+$A$4+$A$6*4800,0,1,1)</f>
        <v>0.0050955753900717715</v>
      </c>
      <c r="C50">
        <v>0</v>
      </c>
      <c r="D50">
        <f t="shared" si="1"/>
        <v>2.5964888555905087E-05</v>
      </c>
    </row>
    <row r="51" spans="2:4" ht="12.75">
      <c r="B51">
        <f>NORMDIST(+$A$4+$A$6*4900,0,1,1)</f>
        <v>0.00529450695050071</v>
      </c>
      <c r="C51">
        <v>0</v>
      </c>
      <c r="D51">
        <f t="shared" si="1"/>
        <v>2.803180384890033E-05</v>
      </c>
    </row>
    <row r="52" spans="2:4" ht="12.75">
      <c r="B52">
        <f>NORMDIST(+$A$4+$A$6*5000,0,1,1)</f>
        <v>0.005500316300793284</v>
      </c>
      <c r="C52">
        <v>0</v>
      </c>
      <c r="D52">
        <f t="shared" si="1"/>
        <v>3.025347940877232E-05</v>
      </c>
    </row>
    <row r="53" spans="2:4" ht="12.75">
      <c r="B53">
        <f>NORMDIST(+$A$4+$A$6*5100,0,1,1)</f>
        <v>0.005713203580989701</v>
      </c>
      <c r="C53">
        <v>0</v>
      </c>
      <c r="D53">
        <f t="shared" si="1"/>
        <v>3.264069515783354E-05</v>
      </c>
    </row>
    <row r="54" spans="2:4" ht="12.75">
      <c r="B54">
        <f>NORMDIST(+$A$4+$A$6*5200,0,1,1)</f>
        <v>0.005933373267950071</v>
      </c>
      <c r="C54">
        <v>0</v>
      </c>
      <c r="D54">
        <f t="shared" si="1"/>
        <v>3.52049183368245E-05</v>
      </c>
    </row>
    <row r="55" spans="2:4" ht="12.75">
      <c r="B55">
        <f>NORMDIST(+$A$4+$A$6*5300,0,1,1)</f>
        <v>0.006161034213781225</v>
      </c>
      <c r="C55">
        <v>0</v>
      </c>
      <c r="D55">
        <f t="shared" si="1"/>
        <v>3.795834258338283E-05</v>
      </c>
    </row>
    <row r="56" spans="2:4" ht="12.75">
      <c r="B56">
        <f>NORMDIST(+$A$4+$A$6*5400,0,1,1)</f>
        <v>0.006396399682427445</v>
      </c>
      <c r="C56">
        <v>0</v>
      </c>
      <c r="D56">
        <f t="shared" si="1"/>
        <v>4.091392889735792E-05</v>
      </c>
    </row>
    <row r="57" spans="2:4" ht="12.75">
      <c r="B57">
        <f>NORMDIST(+$A$4+$A$6*5500,0,1,1)</f>
        <v>0.006639687384337956</v>
      </c>
      <c r="C57">
        <v>0</v>
      </c>
      <c r="D57">
        <f t="shared" si="1"/>
        <v>4.4085448561736605E-05</v>
      </c>
    </row>
    <row r="58" spans="2:4" ht="12.75">
      <c r="B58">
        <f>NORMDIST(+$A$4+$A$6*5600,0,1,1)</f>
        <v>0.006891119509104593</v>
      </c>
      <c r="C58">
        <v>0</v>
      </c>
      <c r="D58">
        <f t="shared" si="1"/>
        <v>4.748752808876192E-05</v>
      </c>
    </row>
    <row r="59" spans="2:4" ht="12.75">
      <c r="B59">
        <f>NORMDIST(+$A$4+$A$6*5700,0,1,1)</f>
        <v>0.007150922755982059</v>
      </c>
      <c r="C59">
        <v>0</v>
      </c>
      <c r="D59">
        <f t="shared" si="1"/>
        <v>5.113569626202204E-05</v>
      </c>
    </row>
    <row r="60" spans="2:4" ht="12.75">
      <c r="B60">
        <f>NORMDIST(+$A$4+$A$6*5800,0,1,1)</f>
        <v>0.007419328362181732</v>
      </c>
      <c r="C60">
        <v>0</v>
      </c>
      <c r="D60">
        <f t="shared" si="1"/>
        <v>5.504643334587426E-05</v>
      </c>
    </row>
    <row r="61" spans="2:4" ht="12.75">
      <c r="B61">
        <f>NORMDIST(+$A$4+$A$6*5900,0,1,1)</f>
        <v>0.007696572128850998</v>
      </c>
      <c r="C61">
        <v>0</v>
      </c>
      <c r="D61">
        <f t="shared" si="1"/>
        <v>5.9237222534605986E-05</v>
      </c>
    </row>
    <row r="62" spans="2:4" ht="12.75">
      <c r="B62">
        <f>NORMDIST(+$A$4+$A$6*6000,0,1,1)</f>
        <v>0.0079828944446253</v>
      </c>
      <c r="C62">
        <v>0</v>
      </c>
      <c r="D62">
        <f t="shared" si="1"/>
        <v>6.372660371402946E-05</v>
      </c>
    </row>
    <row r="63" spans="2:4" ht="12.75">
      <c r="B63">
        <f>NORMDIST(+$A$4+$A$6*6100,0,1,1)</f>
        <v>0.008278540306663085</v>
      </c>
      <c r="C63">
        <v>0</v>
      </c>
      <c r="D63">
        <f t="shared" si="1"/>
        <v>6.853422960904532E-05</v>
      </c>
    </row>
    <row r="64" spans="2:4" ht="12.75">
      <c r="B64">
        <f>NORMDIST(+$A$4+$A$6*6200,0,1,1)</f>
        <v>0.008583759339054087</v>
      </c>
      <c r="C64">
        <v>0</v>
      </c>
      <c r="D64">
        <f t="shared" si="1"/>
        <v>7.368092439079825E-05</v>
      </c>
    </row>
    <row r="65" spans="2:4" ht="12.75">
      <c r="B65">
        <f>NORMDIST(+$A$4+$A$6*6300,0,1,1)</f>
        <v>0.008898805808503107</v>
      </c>
      <c r="C65">
        <v>0</v>
      </c>
      <c r="D65">
        <f t="shared" si="1"/>
        <v>7.918874481744864E-05</v>
      </c>
    </row>
    <row r="66" spans="2:4" ht="12.75">
      <c r="B66">
        <f>NORMDIST(+$A$4+$A$6*6400,0,1,1)</f>
        <v>0.009223938637183293</v>
      </c>
      <c r="C66">
        <v>0</v>
      </c>
      <c r="D66">
        <f aca="true" t="shared" si="2" ref="D66:D89">(0-B66)^2</f>
        <v>8.508104398252279E-05</v>
      </c>
    </row>
    <row r="67" spans="2:4" ht="12.75">
      <c r="B67">
        <f>NORMDIST(+$A$4+$A$6*6500,0,1,1)</f>
        <v>0.009559421412659863</v>
      </c>
      <c r="C67">
        <v>0</v>
      </c>
      <c r="D67">
        <f t="shared" si="2"/>
        <v>9.138253774481989E-05</v>
      </c>
    </row>
    <row r="68" spans="2:4" ht="12.75">
      <c r="B68">
        <f>NORMDIST(+$A$4+$A$6*6600,0,1,1)</f>
        <v>0.009905522394778932</v>
      </c>
      <c r="C68">
        <v>0</v>
      </c>
      <c r="D68">
        <f t="shared" si="2"/>
        <v>9.811937391346695E-05</v>
      </c>
    </row>
    <row r="69" spans="2:4" ht="12.75">
      <c r="B69">
        <f>NORMDIST(+$A$4+$A$6*6700,0,1,1)</f>
        <v>0.010262514519417731</v>
      </c>
      <c r="C69">
        <v>0</v>
      </c>
      <c r="D69">
        <f t="shared" si="2"/>
        <v>0.00010531920426125975</v>
      </c>
    </row>
    <row r="70" spans="2:4" ht="12.75">
      <c r="B70">
        <f>NORMDIST(+$A$4+$A$6*6800,0,1,1)</f>
        <v>0.010630675398994427</v>
      </c>
      <c r="C70">
        <v>0</v>
      </c>
      <c r="D70">
        <f t="shared" si="2"/>
        <v>0.00011301125943878532</v>
      </c>
    </row>
    <row r="71" spans="2:4" ht="12.75">
      <c r="B71">
        <f>NORMDIST(+$A$4+$A$6*6900,0,1,1)</f>
        <v>0.011010287319636491</v>
      </c>
      <c r="C71">
        <v>0</v>
      </c>
      <c r="D71">
        <f t="shared" si="2"/>
        <v>0.00012122642686094811</v>
      </c>
    </row>
    <row r="72" spans="2:4" ht="12.75">
      <c r="B72">
        <f>NORMDIST(+$A$4+$A$6*7000,0,1,1)</f>
        <v>0.011401637234900064</v>
      </c>
      <c r="C72">
        <v>0</v>
      </c>
      <c r="D72">
        <f t="shared" si="2"/>
        <v>0.00012999733163625957</v>
      </c>
    </row>
    <row r="73" spans="2:4" ht="12.75">
      <c r="B73">
        <f>NORMDIST(+$A$4+$A$6*7100,0,1,1)</f>
        <v>0.011805016755945918</v>
      </c>
      <c r="C73">
        <v>0</v>
      </c>
      <c r="D73">
        <f t="shared" si="2"/>
        <v>0.0001393584206081639</v>
      </c>
    </row>
    <row r="74" spans="2:4" ht="12.75">
      <c r="B74">
        <f>NORMDIST(+$A$4+$A$6*7200,0,1,1)</f>
        <v>0.0122207221380638</v>
      </c>
      <c r="C74">
        <v>0</v>
      </c>
      <c r="D74">
        <f t="shared" si="2"/>
        <v>0.00014934604957576265</v>
      </c>
    </row>
    <row r="75" spans="2:4" ht="12.75">
      <c r="B75">
        <f>NORMDIST(+$A$4+$A$6*7300,0,1,1)</f>
        <v>0.012649054263448756</v>
      </c>
      <c r="C75">
        <v>0</v>
      </c>
      <c r="D75">
        <f t="shared" si="2"/>
        <v>0.00015999857375967113</v>
      </c>
    </row>
    <row r="76" spans="2:4" ht="12.75">
      <c r="B76">
        <f>NORMDIST(+$A$4+$A$6*7400,0,1,1)</f>
        <v>0.013090318620128882</v>
      </c>
      <c r="C76">
        <v>0</v>
      </c>
      <c r="D76">
        <f t="shared" si="2"/>
        <v>0.00017135644157649293</v>
      </c>
    </row>
    <row r="77" spans="2:4" ht="12.75">
      <c r="B77">
        <f>NORMDIST(+$A$4+$A$6*7500,0,1,1)</f>
        <v>0.013544825276945671</v>
      </c>
      <c r="C77">
        <v>0</v>
      </c>
      <c r="D77">
        <f t="shared" si="2"/>
        <v>0.00018346229178298638</v>
      </c>
    </row>
    <row r="78" spans="2:4" ht="12.75">
      <c r="B78">
        <f>NORMDIST(+$A$4+$A$6*7600,0,1,1)</f>
        <v>0.014012888854492811</v>
      </c>
      <c r="C78">
        <v>0</v>
      </c>
      <c r="D78">
        <f t="shared" si="2"/>
        <v>0.00019636105404836885</v>
      </c>
    </row>
    <row r="79" spans="2:4" ht="12.75">
      <c r="B79">
        <f>NORMDIST(+$A$4+$A$6*7700,0,1,1)</f>
        <v>0.014494828491912859</v>
      </c>
      <c r="C79">
        <v>0</v>
      </c>
      <c r="D79">
        <f t="shared" si="2"/>
        <v>0.0002101000530099688</v>
      </c>
    </row>
    <row r="80" spans="2:4" ht="12.75">
      <c r="B80">
        <f>NORMDIST(+$A$4+$A$6*7800,0,1,1)</f>
        <v>0.014990967809461742</v>
      </c>
      <c r="C80">
        <v>0</v>
      </c>
      <c r="D80">
        <f t="shared" si="2"/>
        <v>0.00022472911586431818</v>
      </c>
    </row>
    <row r="81" spans="2:4" ht="12.75">
      <c r="B81">
        <f>NORMDIST(+$A$4+$A$6*7900,0,1,1)</f>
        <v>0.01550163486674494</v>
      </c>
      <c r="C81">
        <v>0</v>
      </c>
      <c r="D81">
        <f t="shared" si="2"/>
        <v>0.00024030068354188242</v>
      </c>
    </row>
    <row r="82" spans="2:4" ht="12.75">
      <c r="B82">
        <f>NORMDIST(+$A$4+$A$6*8000,0,1,1)</f>
        <v>0.016027162116544647</v>
      </c>
      <c r="C82">
        <v>0</v>
      </c>
      <c r="D82">
        <f t="shared" si="2"/>
        <v>0.0002568699255100039</v>
      </c>
    </row>
    <row r="83" spans="2:4" ht="12.75">
      <c r="B83">
        <f>NORMDIST(+$A$4+$A$6*8100,0,1,1)</f>
        <v>0.016567886354131756</v>
      </c>
      <c r="C83">
        <v>0</v>
      </c>
      <c r="D83">
        <f t="shared" si="2"/>
        <v>0.00027449485824342524</v>
      </c>
    </row>
    <row r="84" spans="2:4" ht="12.75">
      <c r="B84">
        <f>NORMDIST(+$A$4+$A$6*8200,0,1,1)</f>
        <v>0.017124148661997074</v>
      </c>
      <c r="C84">
        <v>0</v>
      </c>
      <c r="D84">
        <f t="shared" si="2"/>
        <v>0.0002932364673981762</v>
      </c>
    </row>
    <row r="85" spans="2:4" ht="12.75">
      <c r="B85">
        <f>NORMDIST(+$A$4+$A$6*8300,0,1,1)</f>
        <v>0.01769629434990183</v>
      </c>
      <c r="C85">
        <v>0</v>
      </c>
      <c r="D85">
        <f t="shared" si="2"/>
        <v>0.00031315883371836747</v>
      </c>
    </row>
    <row r="86" spans="2:4" ht="12.75">
      <c r="B86">
        <f>NORMDIST(+$A$4+$A$6*8400,0,1,1)</f>
        <v>0.018284672890177767</v>
      </c>
      <c r="C86">
        <v>0</v>
      </c>
      <c r="D86">
        <f t="shared" si="2"/>
        <v>0.0003343292627008018</v>
      </c>
    </row>
    <row r="87" spans="2:4" ht="12.75">
      <c r="B87">
        <f>NORMDIST(+$A$4+$A$6*8500,0,1,1)</f>
        <v>0.018889637848189755</v>
      </c>
      <c r="C87">
        <v>0</v>
      </c>
      <c r="D87">
        <f t="shared" si="2"/>
        <v>0.00035681841803576286</v>
      </c>
    </row>
    <row r="88" spans="2:4" ht="12.75">
      <c r="B88">
        <f>NORMDIST(+$A$4+$A$6*8600,0,1,1)</f>
        <v>0.019511546807893687</v>
      </c>
      <c r="C88">
        <v>0</v>
      </c>
      <c r="D88">
        <f t="shared" si="2"/>
        <v>0.00038070045883662634</v>
      </c>
    </row>
    <row r="89" spans="2:4" ht="12.75">
      <c r="B89">
        <f>NORMDIST(+$A$4+$A$6*8700,0,1,1)</f>
        <v>0.02015076129241178</v>
      </c>
      <c r="C89">
        <v>0</v>
      </c>
      <c r="D89">
        <f t="shared" si="2"/>
        <v>0.00040605318066376083</v>
      </c>
    </row>
    <row r="90" spans="2:4" ht="12.75">
      <c r="B90">
        <f>NORMDIST(+$A$4+$A$6*8800,0,1,1)</f>
        <v>0.02080764667955859</v>
      </c>
      <c r="C90">
        <v>1</v>
      </c>
      <c r="D90">
        <f>(1-B90)^2</f>
        <v>0.9588176648012242</v>
      </c>
    </row>
    <row r="91" spans="2:4" ht="12.75">
      <c r="B91">
        <f>NORMDIST(+$A$4+$A$6*8900,0,1,1)</f>
        <v>0.02148257211225335</v>
      </c>
      <c r="C91">
        <v>0</v>
      </c>
      <c r="D91">
        <f aca="true" t="shared" si="3" ref="D91:D98">(0-B91)^2</f>
        <v>0.0004615009045581654</v>
      </c>
    </row>
    <row r="92" spans="2:4" ht="12.75">
      <c r="B92">
        <f>NORMDIST(+$A$4+$A$6*9000,0,1,1)</f>
        <v>0.022175910403756327</v>
      </c>
      <c r="C92">
        <v>0</v>
      </c>
      <c r="D92">
        <f t="shared" si="3"/>
        <v>0.0004917710022354281</v>
      </c>
    </row>
    <row r="93" spans="2:4" ht="12.75">
      <c r="B93">
        <f>NORMDIST(+$A$4+$A$6*9100,0,1,1)</f>
        <v>0.022888037937669914</v>
      </c>
      <c r="C93">
        <v>0</v>
      </c>
      <c r="D93">
        <f t="shared" si="3"/>
        <v>0.0005238622806362172</v>
      </c>
    </row>
    <row r="94" spans="2:4" ht="12.75">
      <c r="B94">
        <f>NORMDIST(+$A$4+$A$6*9200,0,1,1)</f>
        <v>0.023619334562654526</v>
      </c>
      <c r="C94">
        <v>0</v>
      </c>
      <c r="D94">
        <f t="shared" si="3"/>
        <v>0.0005578729651826066</v>
      </c>
    </row>
    <row r="95" spans="2:4" ht="12.75">
      <c r="B95">
        <f>NORMDIST(+$A$4+$A$6*9300,0,1,1)</f>
        <v>0.024370183481805974</v>
      </c>
      <c r="C95">
        <v>0</v>
      </c>
      <c r="D95">
        <f t="shared" si="3"/>
        <v>0.0005939058429368887</v>
      </c>
    </row>
    <row r="96" spans="2:4" ht="12.75">
      <c r="B96">
        <f>NORMDIST(+$A$4+$A$6*9400,0,1,1)</f>
        <v>0.025140971136652368</v>
      </c>
      <c r="C96">
        <v>0</v>
      </c>
      <c r="D96">
        <f t="shared" si="3"/>
        <v>0.0006320684296939875</v>
      </c>
    </row>
    <row r="97" spans="2:4" ht="12.75">
      <c r="B97">
        <f>NORMDIST(+$A$4+$A$6*9500,0,1,1)</f>
        <v>0.025932087085726696</v>
      </c>
      <c r="C97">
        <v>0</v>
      </c>
      <c r="D97">
        <f t="shared" si="3"/>
        <v>0.0006724731406217133</v>
      </c>
    </row>
    <row r="98" spans="2:4" ht="12.75">
      <c r="B98">
        <f>NORMDIST(+$A$4+$A$6*9600,0,1,1)</f>
        <v>0.02674392387768454</v>
      </c>
      <c r="C98">
        <v>0</v>
      </c>
      <c r="D98">
        <f t="shared" si="3"/>
        <v>0.0007152374643753852</v>
      </c>
    </row>
    <row r="99" spans="2:4" ht="12.75">
      <c r="B99">
        <f>NORMDIST(+$A$4+$A$6*9700,0,1,1)</f>
        <v>0.027576876918929738</v>
      </c>
      <c r="C99">
        <v>1</v>
      </c>
      <c r="D99">
        <f>(1-B99)^2</f>
        <v>0.9456067303027423</v>
      </c>
    </row>
    <row r="100" spans="2:4" ht="12.75">
      <c r="B100">
        <f>NORMDIST(+$A$4+$A$6*9800,0,1,1)</f>
        <v>0.028431344335728692</v>
      </c>
      <c r="C100">
        <v>0</v>
      </c>
      <c r="D100">
        <f aca="true" t="shared" si="4" ref="D100:D115">(0-B100)^2</f>
        <v>0.000808341340736772</v>
      </c>
    </row>
    <row r="101" spans="2:4" ht="12.75">
      <c r="B101">
        <f>NORMDIST(+$A$4+$A$6*9900,0,1,1)</f>
        <v>0.02930772683078664</v>
      </c>
      <c r="C101">
        <v>0</v>
      </c>
      <c r="D101">
        <f t="shared" si="4"/>
        <v>0.0008589428519880111</v>
      </c>
    </row>
    <row r="102" spans="2:4" ht="12.75">
      <c r="B102">
        <f>NORMDIST(+$A$4+$A$6*10000,0,1,1)</f>
        <v>0.030206427534277824</v>
      </c>
      <c r="C102">
        <v>0</v>
      </c>
      <c r="D102">
        <f t="shared" si="4"/>
        <v>0.0009124282643835775</v>
      </c>
    </row>
    <row r="103" spans="2:4" ht="12.75">
      <c r="B103">
        <f>NORMDIST(+$A$4+$A$6*10100,0,1,1)</f>
        <v>0.031127851849311883</v>
      </c>
      <c r="C103">
        <v>0</v>
      </c>
      <c r="D103">
        <f t="shared" si="4"/>
        <v>0.0009689431607527092</v>
      </c>
    </row>
    <row r="104" spans="2:4" ht="12.75">
      <c r="B104">
        <f>NORMDIST(+$A$4+$A$6*10200,0,1,1)</f>
        <v>0.03207240729184124</v>
      </c>
      <c r="C104">
        <v>0</v>
      </c>
      <c r="D104">
        <f t="shared" si="4"/>
        <v>0.0010286393094937514</v>
      </c>
    </row>
    <row r="105" spans="2:4" ht="12.75">
      <c r="B105">
        <f>NORMDIST(+$A$4+$A$6*10300,0,1,1)</f>
        <v>0.03304050332500574</v>
      </c>
      <c r="C105">
        <v>0</v>
      </c>
      <c r="D105">
        <f t="shared" si="4"/>
        <v>0.0010916748599697156</v>
      </c>
    </row>
    <row r="106" spans="2:4" ht="12.75">
      <c r="B106">
        <f>NORMDIST(+$A$4+$A$6*10400,0,1,1)</f>
        <v>0.034032551187923366</v>
      </c>
      <c r="C106">
        <v>0</v>
      </c>
      <c r="D106">
        <f t="shared" si="4"/>
        <v>0.001158214540358624</v>
      </c>
    </row>
    <row r="107" spans="2:4" ht="12.75">
      <c r="B107">
        <f>NORMDIST(+$A$4+$A$6*10500,0,1,1)</f>
        <v>0.03504896371894595</v>
      </c>
      <c r="C107">
        <v>0</v>
      </c>
      <c r="D107">
        <f t="shared" si="4"/>
        <v>0.0012284298577719894</v>
      </c>
    </row>
    <row r="108" spans="2:4" ht="12.75">
      <c r="B108">
        <f>NORMDIST(+$A$4+$A$6*10600,0,1,1)</f>
        <v>0.03609015517339342</v>
      </c>
      <c r="C108">
        <v>0</v>
      </c>
      <c r="D108">
        <f t="shared" si="4"/>
        <v>0.001302499300439616</v>
      </c>
    </row>
    <row r="109" spans="2:4" ht="12.75">
      <c r="B109">
        <f>NORMDIST(+$A$4+$A$6*10700,0,1,1)</f>
        <v>0.037156541035801016</v>
      </c>
      <c r="C109">
        <v>0</v>
      </c>
      <c r="D109">
        <f t="shared" si="4"/>
        <v>0.0013806085417451648</v>
      </c>
    </row>
    <row r="110" spans="2:4" ht="12.75">
      <c r="B110">
        <f>NORMDIST(+$A$4+$A$6*10800,0,1,1)</f>
        <v>0.03824853782670634</v>
      </c>
      <c r="C110">
        <v>0</v>
      </c>
      <c r="D110">
        <f t="shared" si="4"/>
        <v>0.0014629506458809858</v>
      </c>
    </row>
    <row r="111" spans="2:4" ht="12.75">
      <c r="B111">
        <f>NORMDIST(+$A$4+$A$6*10900,0,1,1)</f>
        <v>0.03936656290402274</v>
      </c>
      <c r="C111">
        <v>0</v>
      </c>
      <c r="D111">
        <f t="shared" si="4"/>
        <v>0.0015497262748763792</v>
      </c>
    </row>
    <row r="112" spans="2:4" ht="12.75">
      <c r="B112">
        <f>NORMDIST(+$A$4+$A$6*11000,0,1,1)</f>
        <v>0.040511034259041345</v>
      </c>
      <c r="C112">
        <v>0</v>
      </c>
      <c r="D112">
        <f t="shared" si="4"/>
        <v>0.0016411438967372217</v>
      </c>
    </row>
    <row r="113" spans="2:4" ht="12.75">
      <c r="B113">
        <f>NORMDIST(+$A$4+$A$6*11100,0,1,1)</f>
        <v>0.04168237030711874</v>
      </c>
      <c r="C113">
        <v>0</v>
      </c>
      <c r="D113">
        <f t="shared" si="4"/>
        <v>0.0017374199944197742</v>
      </c>
    </row>
    <row r="114" spans="2:4" ht="12.75">
      <c r="B114">
        <f>NORMDIST(+$A$4+$A$6*11200,0,1,1)</f>
        <v>0.04288098967310927</v>
      </c>
      <c r="C114">
        <v>0</v>
      </c>
      <c r="D114">
        <f t="shared" si="4"/>
        <v>0.0018387792753453039</v>
      </c>
    </row>
    <row r="115" spans="2:4" ht="12.75">
      <c r="B115">
        <f>NORMDIST(+$A$4+$A$6*11300,0,1,1)</f>
        <v>0.044107310971613245</v>
      </c>
      <c r="C115">
        <v>0</v>
      </c>
      <c r="D115">
        <f t="shared" si="4"/>
        <v>0.0019454548811465942</v>
      </c>
    </row>
    <row r="116" spans="2:4" ht="12.75">
      <c r="B116">
        <f>NORMDIST(+$A$4+$A$6*11400,0,1,1)</f>
        <v>0.04536175258211017</v>
      </c>
      <c r="C116">
        <v>1</v>
      </c>
      <c r="D116">
        <f>(1-B116)^2</f>
        <v>0.9113341834331002</v>
      </c>
    </row>
    <row r="117" spans="2:4" ht="12.75">
      <c r="B117">
        <f>NORMDIST(+$A$4+$A$6*11500,0,1,1)</f>
        <v>0.04664473241906941</v>
      </c>
      <c r="C117">
        <v>0</v>
      </c>
      <c r="D117">
        <f aca="true" t="shared" si="5" ref="D117:D129">(0-B117)^2</f>
        <v>0.002175731062446585</v>
      </c>
    </row>
    <row r="118" spans="2:4" ht="12.75">
      <c r="B118">
        <f>NORMDIST(+$A$4+$A$6*11600,0,1,1)</f>
        <v>0.04795666769711593</v>
      </c>
      <c r="C118">
        <v>0</v>
      </c>
      <c r="D118">
        <f t="shared" si="5"/>
        <v>0.0022998419766116023</v>
      </c>
    </row>
    <row r="119" spans="2:4" ht="12.75">
      <c r="B119">
        <f>NORMDIST(+$A$4+$A$6*11700,0,1,1)</f>
        <v>0.04929797469135966</v>
      </c>
      <c r="C119">
        <v>0</v>
      </c>
      <c r="D119">
        <f t="shared" si="5"/>
        <v>0.0024302903086699376</v>
      </c>
    </row>
    <row r="120" spans="2:4" ht="12.75">
      <c r="B120">
        <f>NORMDIST(+$A$4+$A$6*11800,0,1,1)</f>
        <v>0.05066906849298469</v>
      </c>
      <c r="C120">
        <v>0</v>
      </c>
      <c r="D120">
        <f t="shared" si="5"/>
        <v>0.002567354501946774</v>
      </c>
    </row>
    <row r="121" spans="2:4" ht="12.75">
      <c r="B121">
        <f>NORMDIST(+$A$4+$A$6*11900,0,1,1)</f>
        <v>0.05207036276021515</v>
      </c>
      <c r="C121">
        <v>0</v>
      </c>
      <c r="D121">
        <f t="shared" si="5"/>
        <v>0.0027113226779804005</v>
      </c>
    </row>
    <row r="122" spans="2:4" ht="12.75">
      <c r="B122">
        <f>NORMDIST(+$A$4+$A$6*12000,0,1,1)</f>
        <v>0.053502269464775876</v>
      </c>
      <c r="C122">
        <v>0</v>
      </c>
      <c r="D122">
        <f t="shared" si="5"/>
        <v>0.002862492837881489</v>
      </c>
    </row>
    <row r="123" spans="2:4" ht="12.75">
      <c r="B123">
        <f>NORMDIST(+$A$4+$A$6*12100,0,1,1)</f>
        <v>0.054965198633973866</v>
      </c>
      <c r="C123">
        <v>0</v>
      </c>
      <c r="D123">
        <f t="shared" si="5"/>
        <v>0.0030211730608722025</v>
      </c>
    </row>
    <row r="124" spans="2:4" ht="12.75">
      <c r="B124">
        <f>NORMDIST(+$A$4+$A$6*12200,0,1,1)</f>
        <v>0.056459558088535644</v>
      </c>
      <c r="C124">
        <v>0</v>
      </c>
      <c r="D124">
        <f t="shared" si="5"/>
        <v>0.0031876816995527308</v>
      </c>
    </row>
    <row r="125" spans="2:4" ht="12.75">
      <c r="B125">
        <f>NORMDIST(+$A$4+$A$6*12300,0,1,1)</f>
        <v>0.05798575317634391</v>
      </c>
      <c r="C125">
        <v>0</v>
      </c>
      <c r="D125">
        <f t="shared" si="5"/>
        <v>0.003362347571427878</v>
      </c>
    </row>
    <row r="126" spans="2:4" ht="12.75">
      <c r="B126">
        <f>NORMDIST(+$A$4+$A$6*12400,0,1,1)</f>
        <v>0.0595441865022216</v>
      </c>
      <c r="C126">
        <v>0</v>
      </c>
      <c r="D126">
        <f t="shared" si="5"/>
        <v>0.0035455101462113486</v>
      </c>
    </row>
    <row r="127" spans="2:4" ht="12.75">
      <c r="B127">
        <f>NORMDIST(+$A$4+$A$6*12500,0,1,1)</f>
        <v>0.061135257653917696</v>
      </c>
      <c r="C127">
        <v>0</v>
      </c>
      <c r="D127">
        <f t="shared" si="5"/>
        <v>0.0037375197284109023</v>
      </c>
    </row>
    <row r="128" spans="2:4" ht="12.75">
      <c r="B128">
        <f>NORMDIST(+$A$4+$A$6*12600,0,1,1)</f>
        <v>0.06275936292446493</v>
      </c>
      <c r="C128">
        <v>0</v>
      </c>
      <c r="D128">
        <f t="shared" si="5"/>
        <v>0.0039387376346847035</v>
      </c>
    </row>
    <row r="129" spans="2:4" ht="12.75">
      <c r="B129">
        <f>NORMDIST(+$A$4+$A$6*12700,0,1,1)</f>
        <v>0.06441689503107684</v>
      </c>
      <c r="C129">
        <v>0</v>
      </c>
      <c r="D129">
        <f t="shared" si="5"/>
        <v>0.004149536365444771</v>
      </c>
    </row>
    <row r="130" spans="2:4" ht="12.75">
      <c r="B130">
        <f>NORMDIST(+$A$4+$A$6*12800,0,1,1)</f>
        <v>0.06610824283076289</v>
      </c>
      <c r="C130">
        <v>1</v>
      </c>
      <c r="D130">
        <f>(1-B130)^2</f>
        <v>0.8721538141086453</v>
      </c>
    </row>
    <row r="131" spans="2:4" ht="12.75">
      <c r="B131">
        <f>NORMDIST(+$A$4+$A$6*12900,0,1,1)</f>
        <v>0.06783379103284992</v>
      </c>
      <c r="C131">
        <v>0</v>
      </c>
      <c r="D131">
        <f aca="true" t="shared" si="6" ref="D131:D153">(0-B131)^2</f>
        <v>0.00460142320588835</v>
      </c>
    </row>
    <row r="132" spans="2:4" ht="12.75">
      <c r="B132">
        <f>NORMDIST(+$A$4+$A$6*13000,0,1,1)</f>
        <v>0.06959391990860231</v>
      </c>
      <c r="C132">
        <v>0</v>
      </c>
      <c r="D132">
        <f t="shared" si="6"/>
        <v>0.0048433136882449525</v>
      </c>
    </row>
    <row r="133" spans="2:4" ht="12.75">
      <c r="B133">
        <f>NORMDIST(+$A$4+$A$6*13100,0,1,1)</f>
        <v>0.07138900499814183</v>
      </c>
      <c r="C133">
        <v>0</v>
      </c>
      <c r="D133">
        <f t="shared" si="6"/>
        <v>0.005096390034624718</v>
      </c>
    </row>
    <row r="134" spans="2:4" ht="12.75">
      <c r="B134">
        <f>NORMDIST(+$A$4+$A$6*13200,0,1,1)</f>
        <v>0.07321941681487243</v>
      </c>
      <c r="C134">
        <v>0</v>
      </c>
      <c r="D134">
        <f t="shared" si="6"/>
        <v>0.005361082998710023</v>
      </c>
    </row>
    <row r="135" spans="2:4" ht="12.75">
      <c r="B135">
        <f>NORMDIST(+$A$4+$A$6*13300,0,1,1)</f>
        <v>0.0750855205476273</v>
      </c>
      <c r="C135">
        <v>0</v>
      </c>
      <c r="D135">
        <f t="shared" si="6"/>
        <v>0.00563783539590816</v>
      </c>
    </row>
    <row r="136" spans="2:4" ht="12.75">
      <c r="B136">
        <f>NORMDIST(+$A$4+$A$6*13400,0,1,1)</f>
        <v>0.0769876757607566</v>
      </c>
      <c r="C136">
        <v>0</v>
      </c>
      <c r="D136">
        <f t="shared" si="6"/>
        <v>0.005927102219043389</v>
      </c>
    </row>
    <row r="137" spans="2:4" ht="12.75">
      <c r="B137">
        <f>NORMDIST(+$A$4+$A$6*13500,0,1,1)</f>
        <v>0.07892623609238425</v>
      </c>
      <c r="C137">
        <v>0</v>
      </c>
      <c r="D137">
        <f t="shared" si="6"/>
        <v>0.0062293507437107785</v>
      </c>
    </row>
    <row r="138" spans="2:4" ht="12.75">
      <c r="B138">
        <f>NORMDIST(+$A$4+$A$6*13600,0,1,1)</f>
        <v>0.08090154895106705</v>
      </c>
      <c r="C138">
        <v>0</v>
      </c>
      <c r="D138">
        <f t="shared" si="6"/>
        <v>0.0065450606226818975</v>
      </c>
    </row>
    <row r="139" spans="2:4" ht="12.75">
      <c r="B139">
        <f>NORMDIST(+$A$4+$A$6*13700,0,1,1)</f>
        <v>0.08291395521109779</v>
      </c>
      <c r="C139">
        <v>0</v>
      </c>
      <c r="D139">
        <f t="shared" si="6"/>
        <v>0.00687472396874793</v>
      </c>
    </row>
    <row r="140" spans="2:4" ht="12.75">
      <c r="B140">
        <f>NORMDIST(+$A$4+$A$6*13800,0,1,1)</f>
        <v>0.0849637889066952</v>
      </c>
      <c r="C140">
        <v>0</v>
      </c>
      <c r="D140">
        <f t="shared" si="6"/>
        <v>0.007218845425381463</v>
      </c>
    </row>
    <row r="141" spans="2:4" ht="12.75">
      <c r="B141">
        <f>NORMDIST(+$A$4+$A$6*13900,0,1,1)</f>
        <v>0.08705137692533693</v>
      </c>
      <c r="C141">
        <v>0</v>
      </c>
      <c r="D141">
        <f t="shared" si="6"/>
        <v>0.007577942224597083</v>
      </c>
    </row>
    <row r="142" spans="2:4" ht="12.75">
      <c r="B142">
        <f>NORMDIST(+$A$4+$A$6*14000,0,1,1)</f>
        <v>0.08917703870048799</v>
      </c>
      <c r="C142">
        <v>0</v>
      </c>
      <c r="D142">
        <f t="shared" si="6"/>
        <v>0.007952544231388333</v>
      </c>
    </row>
    <row r="143" spans="2:4" ht="12.75">
      <c r="B143">
        <f>NORMDIST(+$A$4+$A$6*14100,0,1,1)</f>
        <v>0.09134108590399392</v>
      </c>
      <c r="C143">
        <v>0</v>
      </c>
      <c r="D143">
        <f t="shared" si="6"/>
        <v>0.008343193974120797</v>
      </c>
    </row>
    <row r="144" spans="2:4" ht="12.75">
      <c r="B144">
        <f>NORMDIST(+$A$4+$A$6*14200,0,1,1)</f>
        <v>0.09354382213840018</v>
      </c>
      <c r="C144">
        <v>0</v>
      </c>
      <c r="D144">
        <f t="shared" si="6"/>
        <v>0.008750446660260647</v>
      </c>
    </row>
    <row r="145" spans="2:4" ht="12.75">
      <c r="B145">
        <f>NORMDIST(+$A$4+$A$6*14300,0,1,1)</f>
        <v>0.09578554262947736</v>
      </c>
      <c r="C145">
        <v>0</v>
      </c>
      <c r="D145">
        <f t="shared" si="6"/>
        <v>0.009174870176823424</v>
      </c>
    </row>
    <row r="146" spans="2:4" ht="12.75">
      <c r="B146">
        <f>NORMDIST(+$A$4+$A$6*14400,0,1,1)</f>
        <v>0.09806653391922393</v>
      </c>
      <c r="C146">
        <v>0</v>
      </c>
      <c r="D146">
        <f t="shared" si="6"/>
        <v>0.009617045074930297</v>
      </c>
    </row>
    <row r="147" spans="2:4" ht="12.75">
      <c r="B147">
        <f>NORMDIST(+$A$4+$A$6*14500,0,1,1)</f>
        <v>0.10038707355963472</v>
      </c>
      <c r="C147">
        <v>0</v>
      </c>
      <c r="D147">
        <f t="shared" si="6"/>
        <v>0.010077564537867512</v>
      </c>
    </row>
    <row r="148" spans="2:4" ht="12.75">
      <c r="B148">
        <f>NORMDIST(+$A$4+$A$6*14600,0,1,1)</f>
        <v>0.1027474298075175</v>
      </c>
      <c r="C148">
        <v>0</v>
      </c>
      <c r="D148">
        <f t="shared" si="6"/>
        <v>0.010557034332050736</v>
      </c>
    </row>
    <row r="149" spans="2:4" ht="12.75">
      <c r="B149">
        <f>NORMDIST(+$A$4+$A$6*14700,0,1,1)</f>
        <v>0.10514786132064924</v>
      </c>
      <c r="C149">
        <v>0</v>
      </c>
      <c r="D149">
        <f t="shared" si="6"/>
        <v>0.011056072740306485</v>
      </c>
    </row>
    <row r="150" spans="2:4" ht="12.75">
      <c r="B150">
        <f>NORMDIST(+$A$4+$A$6*14800,0,1,1)</f>
        <v>0.10758861685556753</v>
      </c>
      <c r="C150">
        <v>0</v>
      </c>
      <c r="D150">
        <f t="shared" si="6"/>
        <v>0.01157531047689411</v>
      </c>
    </row>
    <row r="151" spans="2:4" ht="12.75">
      <c r="B151">
        <f>NORMDIST(+$A$4+$A$6*14900,0,1,1)</f>
        <v>0.11006993496729223</v>
      </c>
      <c r="C151">
        <v>0</v>
      </c>
      <c r="D151">
        <f t="shared" si="6"/>
        <v>0.01211539058370394</v>
      </c>
    </row>
    <row r="152" spans="2:4" ht="12.75">
      <c r="B152">
        <f>NORMDIST(+$A$4+$A$6*15000,0,1,1)</f>
        <v>0.1125920437112804</v>
      </c>
      <c r="C152">
        <v>0</v>
      </c>
      <c r="D152">
        <f t="shared" si="6"/>
        <v>0.012676968307082877</v>
      </c>
    </row>
    <row r="153" spans="2:4" ht="12.75">
      <c r="B153">
        <f>NORMDIST(+$A$4+$A$6*15100,0,1,1)</f>
        <v>0.11515516034791284</v>
      </c>
      <c r="C153">
        <v>0</v>
      </c>
      <c r="D153">
        <f t="shared" si="6"/>
        <v>0.013260710954753518</v>
      </c>
    </row>
    <row r="154" spans="2:4" ht="12.75">
      <c r="B154">
        <f>NORMDIST(+$A$4+$A$6*15200,0,1,1)</f>
        <v>0.11775949104982364</v>
      </c>
      <c r="C154">
        <v>1</v>
      </c>
      <c r="D154">
        <f>(1-B154)^2</f>
        <v>0.7783483156326663</v>
      </c>
    </row>
    <row r="155" spans="2:4" ht="12.75">
      <c r="B155">
        <f>NORMDIST(+$A$4+$A$6*15300,0,1,1)</f>
        <v>0.12040523061237574</v>
      </c>
      <c r="C155">
        <v>1</v>
      </c>
      <c r="D155">
        <f>(1-B155)^2</f>
        <v>0.7736869583340679</v>
      </c>
    </row>
    <row r="156" spans="2:4" ht="12.75">
      <c r="B156">
        <f>NORMDIST(+$A$4+$A$6*15400,0,1,1)</f>
        <v>0.1230925621675919</v>
      </c>
      <c r="C156">
        <v>0</v>
      </c>
      <c r="D156">
        <f>(0-B156)^2</f>
        <v>0.015151778860982477</v>
      </c>
    </row>
    <row r="157" spans="2:4" ht="12.75">
      <c r="B157">
        <f>NORMDIST(+$A$4+$A$6*15500,0,1,1)</f>
        <v>0.12582165690185276</v>
      </c>
      <c r="C157">
        <v>0</v>
      </c>
      <c r="D157">
        <f>(0-B157)^2</f>
        <v>0.015831089345527554</v>
      </c>
    </row>
    <row r="158" spans="2:4" ht="12.75">
      <c r="B158">
        <f>NORMDIST(+$A$4+$A$6*15600,0,1,1)</f>
        <v>0.1285926737776718</v>
      </c>
      <c r="C158">
        <v>0</v>
      </c>
      <c r="D158">
        <f>(0-B158)^2</f>
        <v>0.01653607574929072</v>
      </c>
    </row>
    <row r="159" spans="2:4" ht="12.75">
      <c r="B159">
        <f>NORMDIST(+$A$4+$A$6*15700,0,1,1)</f>
        <v>0.13140575925985987</v>
      </c>
      <c r="C159">
        <v>0</v>
      </c>
      <c r="D159">
        <f>(0-B159)^2</f>
        <v>0.01726747356666025</v>
      </c>
    </row>
    <row r="160" spans="2:4" ht="12.75">
      <c r="B160">
        <f>NORMDIST(+$A$4+$A$6*15800,0,1,1)</f>
        <v>0.13426104704638986</v>
      </c>
      <c r="C160">
        <v>0</v>
      </c>
      <c r="D160">
        <f>(0-B160)^2</f>
        <v>0.01802602875399291</v>
      </c>
    </row>
    <row r="161" spans="2:4" ht="12.75">
      <c r="B161">
        <f>NORMDIST(+$A$4+$A$6*15900,0,1,1)</f>
        <v>0.13715865780427328</v>
      </c>
      <c r="C161">
        <v>1</v>
      </c>
      <c r="D161">
        <f>(1-B161)^2</f>
        <v>0.7444951818021232</v>
      </c>
    </row>
    <row r="162" spans="2:4" ht="12.75">
      <c r="B162">
        <f>NORMDIST(+$A$4+$A$6*16000,0,1,1)</f>
        <v>0.14009869891076088</v>
      </c>
      <c r="C162">
        <v>0</v>
      </c>
      <c r="D162">
        <f>(0-B162)^2</f>
        <v>0.019627645436488032</v>
      </c>
    </row>
    <row r="163" spans="2:4" ht="12.75">
      <c r="B163">
        <f>NORMDIST(+$A$4+$A$6*16100,0,1,1)</f>
        <v>0.14308126420017575</v>
      </c>
      <c r="C163">
        <v>0</v>
      </c>
      <c r="D163">
        <f>(0-B163)^2</f>
        <v>0.020472248165120496</v>
      </c>
    </row>
    <row r="164" spans="2:4" ht="12.75">
      <c r="B164">
        <f>NORMDIST(+$A$4+$A$6*16200,0,1,1)</f>
        <v>0.14610643371668752</v>
      </c>
      <c r="C164">
        <v>1</v>
      </c>
      <c r="D164">
        <f>(1-B164)^2</f>
        <v>0.7291342225400338</v>
      </c>
    </row>
    <row r="165" spans="2:4" ht="12.75">
      <c r="B165">
        <f>NORMDIST(+$A$4+$A$6*16300,0,1,1)</f>
        <v>0.14917427347333567</v>
      </c>
      <c r="C165">
        <v>0</v>
      </c>
      <c r="D165">
        <f>(0-B165)^2</f>
        <v>0.022252963866297538</v>
      </c>
    </row>
    <row r="166" spans="2:4" ht="12.75">
      <c r="B166">
        <f>NORMDIST(+$A$4+$A$6*16400,0,1,1)</f>
        <v>0.15228483521760405</v>
      </c>
      <c r="C166">
        <v>0</v>
      </c>
      <c r="D166">
        <f>(0-B166)^2</f>
        <v>0.02319067103725282</v>
      </c>
    </row>
    <row r="167" spans="2:4" ht="12.75">
      <c r="B167">
        <f>NORMDIST(+$A$4+$A$6*16500,0,1,1)</f>
        <v>0.15543815620385004</v>
      </c>
      <c r="C167">
        <v>1</v>
      </c>
      <c r="D167">
        <f>(1-B167)^2</f>
        <v>0.7132847079963524</v>
      </c>
    </row>
    <row r="168" spans="2:4" ht="12.75">
      <c r="B168">
        <f>NORMDIST(+$A$4+$A$6*16600,0,1,1)</f>
        <v>0.15863425897288685</v>
      </c>
      <c r="C168">
        <v>1</v>
      </c>
      <c r="D168">
        <f>(1-B168)^2</f>
        <v>0.7078963101741033</v>
      </c>
    </row>
    <row r="169" spans="2:4" ht="12.75">
      <c r="B169">
        <f>NORMDIST(+$A$4+$A$6*16700,0,1,1)</f>
        <v>0.16187315113901335</v>
      </c>
      <c r="C169">
        <v>0</v>
      </c>
      <c r="D169">
        <f>(0-B169)^2</f>
        <v>0.02620291705967386</v>
      </c>
    </row>
    <row r="170" spans="2:4" ht="12.75">
      <c r="B170">
        <f>NORMDIST(+$A$4+$A$6*16800,0,1,1)</f>
        <v>0.16515482518478275</v>
      </c>
      <c r="C170">
        <v>1</v>
      </c>
      <c r="D170">
        <f>(1-B170)^2</f>
        <v>0.6969664659122506</v>
      </c>
    </row>
    <row r="171" spans="2:4" ht="12.75">
      <c r="B171">
        <f>NORMDIST(+$A$4+$A$6*16900,0,1,1)</f>
        <v>0.16847925826379817</v>
      </c>
      <c r="C171">
        <v>0</v>
      </c>
      <c r="D171">
        <f aca="true" t="shared" si="7" ref="D171:D178">(0-B171)^2</f>
        <v>0.028385260465119605</v>
      </c>
    </row>
    <row r="172" spans="2:4" ht="12.75">
      <c r="B172">
        <f>NORMDIST(+$A$4+$A$6*17000,0,1,1)</f>
        <v>0.17184641201181639</v>
      </c>
      <c r="C172">
        <v>0</v>
      </c>
      <c r="D172">
        <f t="shared" si="7"/>
        <v>0.02953118932133495</v>
      </c>
    </row>
    <row r="173" spans="2:4" ht="12.75">
      <c r="B173">
        <f>NORMDIST(+$A$4+$A$6*17100,0,1,1)</f>
        <v>0.17525623236643728</v>
      </c>
      <c r="C173">
        <v>0</v>
      </c>
      <c r="D173">
        <f t="shared" si="7"/>
        <v>0.030714746983278658</v>
      </c>
    </row>
    <row r="174" spans="2:4" ht="12.75">
      <c r="B174">
        <f>NORMDIST(+$A$4+$A$6*17200,0,1,1)</f>
        <v>0.17870864939564868</v>
      </c>
      <c r="C174">
        <v>0</v>
      </c>
      <c r="D174">
        <f t="shared" si="7"/>
        <v>0.031936781368816884</v>
      </c>
    </row>
    <row r="175" spans="2:4" ht="12.75">
      <c r="B175">
        <f>NORMDIST(+$A$4+$A$6*17300,0,1,1)</f>
        <v>0.1822035771354964</v>
      </c>
      <c r="C175">
        <v>0</v>
      </c>
      <c r="D175">
        <f t="shared" si="7"/>
        <v>0.03319814352097079</v>
      </c>
    </row>
    <row r="176" spans="2:4" ht="12.75">
      <c r="B176">
        <f>NORMDIST(+$A$4+$A$6*17400,0,1,1)</f>
        <v>0.18574091343713417</v>
      </c>
      <c r="C176">
        <v>0</v>
      </c>
      <c r="D176">
        <f t="shared" si="7"/>
        <v>0.03449968692446097</v>
      </c>
    </row>
    <row r="177" spans="2:4" ht="12.75">
      <c r="B177">
        <f>NORMDIST(+$A$4+$A$6*17500,0,1,1)</f>
        <v>0.18932053982350738</v>
      </c>
      <c r="C177">
        <v>0</v>
      </c>
      <c r="D177">
        <f t="shared" si="7"/>
        <v>0.03584226679906424</v>
      </c>
    </row>
    <row r="178" spans="2:4" ht="12.75">
      <c r="B178">
        <f>NORMDIST(+$A$4+$A$6*17600,0,1,1)</f>
        <v>0.1929423213559186</v>
      </c>
      <c r="C178">
        <v>0</v>
      </c>
      <c r="D178">
        <f t="shared" si="7"/>
        <v>0.037226739370210565</v>
      </c>
    </row>
    <row r="179" spans="2:4" ht="12.75">
      <c r="B179">
        <f>NORMDIST(+$A$4+$A$6*17700,0,1,1)</f>
        <v>0.19660610651070654</v>
      </c>
      <c r="C179">
        <v>1</v>
      </c>
      <c r="D179">
        <f>(1-B179)^2</f>
        <v>0.6454417480958862</v>
      </c>
    </row>
    <row r="180" spans="2:4" ht="12.75">
      <c r="B180">
        <f>NORMDIST(+$A$4+$A$6*17800,0,1,1)</f>
        <v>0.2003117270662753</v>
      </c>
      <c r="C180">
        <v>0</v>
      </c>
      <c r="D180">
        <f>(0-B180)^2</f>
        <v>0.04012478800027398</v>
      </c>
    </row>
    <row r="181" spans="2:4" ht="12.75">
      <c r="B181">
        <f>NORMDIST(+$A$4+$A$6*17900,0,1,1)</f>
        <v>0.20405899800068905</v>
      </c>
      <c r="C181">
        <v>0</v>
      </c>
      <c r="D181">
        <f>(0-B181)^2</f>
        <v>0.04164007466504522</v>
      </c>
    </row>
    <row r="182" spans="2:4" ht="12.75">
      <c r="B182">
        <f>NORMDIST(+$A$4+$A$6*18000,0,1,1)</f>
        <v>0.20784771740004837</v>
      </c>
      <c r="C182">
        <v>1</v>
      </c>
      <c r="D182">
        <f>(1-B182)^2</f>
        <v>0.6275052388283137</v>
      </c>
    </row>
    <row r="183" spans="2:4" ht="12.75">
      <c r="B183">
        <f>NORMDIST(+$A$4+$A$6*18100,0,1,1)</f>
        <v>0.21167766637785235</v>
      </c>
      <c r="C183">
        <v>0</v>
      </c>
      <c r="D183">
        <f>(0-B183)^2</f>
        <v>0.04480743444317336</v>
      </c>
    </row>
    <row r="184" spans="2:4" ht="12.75">
      <c r="B184">
        <f>NORMDIST(+$A$4+$A$6*18200,0,1,1)</f>
        <v>0.2155486090055363</v>
      </c>
      <c r="C184">
        <v>0</v>
      </c>
      <c r="D184">
        <f>(0-B184)^2</f>
        <v>0.04646120284422156</v>
      </c>
    </row>
    <row r="185" spans="2:4" ht="12.75">
      <c r="B185">
        <f>NORMDIST(+$A$4+$A$6*18300,0,1,1)</f>
        <v>0.21946029225437447</v>
      </c>
      <c r="C185">
        <v>1</v>
      </c>
      <c r="D185">
        <f>(1-B185)^2</f>
        <v>0.6092422353676266</v>
      </c>
    </row>
    <row r="186" spans="2:4" ht="12.75">
      <c r="B186">
        <f>NORMDIST(+$A$4+$A$6*18400,0,1,1)</f>
        <v>0.22341244594892018</v>
      </c>
      <c r="C186">
        <v>0</v>
      </c>
      <c r="D186">
        <f aca="true" t="shared" si="8" ref="D186:D194">(0-B186)^2</f>
        <v>0.04991312100487918</v>
      </c>
    </row>
    <row r="187" spans="2:4" ht="12.75">
      <c r="B187">
        <f>NORMDIST(+$A$4+$A$6*18500,0,1,1)</f>
        <v>0.2274047827321446</v>
      </c>
      <c r="C187">
        <v>0</v>
      </c>
      <c r="D187">
        <f t="shared" si="8"/>
        <v>0.051712935209453886</v>
      </c>
    </row>
    <row r="188" spans="2:4" ht="12.75">
      <c r="B188">
        <f>NORMDIST(+$A$4+$A$6*18600,0,1,1)</f>
        <v>0.231436998042432</v>
      </c>
      <c r="C188">
        <v>0</v>
      </c>
      <c r="D188">
        <f t="shared" si="8"/>
        <v>0.053563084062892674</v>
      </c>
    </row>
    <row r="189" spans="2:4" ht="12.75">
      <c r="B189">
        <f>NORMDIST(+$A$4+$A$6*18700,0,1,1)</f>
        <v>0.2355087701025702</v>
      </c>
      <c r="C189">
        <v>0</v>
      </c>
      <c r="D189">
        <f t="shared" si="8"/>
        <v>0.05546438079522527</v>
      </c>
    </row>
    <row r="190" spans="2:4" ht="12.75">
      <c r="B190">
        <f>NORMDIST(+$A$4+$A$6*18800,0,1,1)</f>
        <v>0.23961975992086704</v>
      </c>
      <c r="C190">
        <v>0</v>
      </c>
      <c r="D190">
        <f t="shared" si="8"/>
        <v>0.057417629344533955</v>
      </c>
    </row>
    <row r="191" spans="2:4" ht="12.75">
      <c r="B191">
        <f>NORMDIST(+$A$4+$A$6*18900,0,1,1)</f>
        <v>0.2437696113045138</v>
      </c>
      <c r="C191">
        <v>0</v>
      </c>
      <c r="D191">
        <f t="shared" si="8"/>
        <v>0.059423623395553744</v>
      </c>
    </row>
    <row r="192" spans="2:4" ht="12.75">
      <c r="B192">
        <f>NORMDIST(+$A$4+$A$6*19000,0,1,1)</f>
        <v>0.2479579508853007</v>
      </c>
      <c r="C192">
        <v>0</v>
      </c>
      <c r="D192">
        <f t="shared" si="8"/>
        <v>0.0614831454072372</v>
      </c>
    </row>
    <row r="193" spans="2:4" ht="12.75">
      <c r="B193">
        <f>NORMDIST(+$A$4+$A$6*19100,0,1,1)</f>
        <v>0.2521843881577809</v>
      </c>
      <c r="C193">
        <v>0</v>
      </c>
      <c r="D193">
        <f t="shared" si="8"/>
        <v>0.0635969656305143</v>
      </c>
    </row>
    <row r="194" spans="2:4" ht="12.75">
      <c r="B194">
        <f>NORMDIST(+$A$4+$A$6*19200,0,1,1)</f>
        <v>0.25644851552996417</v>
      </c>
      <c r="C194">
        <v>0</v>
      </c>
      <c r="D194">
        <f t="shared" si="8"/>
        <v>0.06576584111752228</v>
      </c>
    </row>
    <row r="195" spans="2:4" ht="12.75">
      <c r="B195">
        <f>NORMDIST(+$A$4+$A$6*19300,0,1,1)</f>
        <v>0.2607499083866135</v>
      </c>
      <c r="C195">
        <v>1</v>
      </c>
      <c r="D195">
        <f>(1-B195)^2</f>
        <v>0.5464906979504004</v>
      </c>
    </row>
    <row r="196" spans="2:4" ht="12.75">
      <c r="B196">
        <f>NORMDIST(+$A$4+$A$6*19400,0,1,1)</f>
        <v>0.2650881251651964</v>
      </c>
      <c r="C196">
        <v>0</v>
      </c>
      <c r="D196">
        <f>(0-B196)^2</f>
        <v>0.07027171410359884</v>
      </c>
    </row>
    <row r="197" spans="2:4" ht="12.75">
      <c r="B197">
        <f>NORMDIST(+$A$4+$A$6*19500,0,1,1)</f>
        <v>0.26946270744454137</v>
      </c>
      <c r="C197">
        <v>0</v>
      </c>
      <c r="D197">
        <f>(0-B197)^2</f>
        <v>0.0726101507033425</v>
      </c>
    </row>
    <row r="198" spans="2:4" ht="12.75">
      <c r="B198">
        <f>NORMDIST(+$A$4+$A$6*19600,0,1,1)</f>
        <v>0.27387318004622574</v>
      </c>
      <c r="C198">
        <v>1</v>
      </c>
      <c r="D198">
        <f>(1-B198)^2</f>
        <v>0.5272601586561809</v>
      </c>
    </row>
    <row r="199" spans="2:4" ht="12.75">
      <c r="B199">
        <f>NORMDIST(+$A$4+$A$6*19700,0,1,1)</f>
        <v>0.2783190511487166</v>
      </c>
      <c r="C199">
        <v>0</v>
      </c>
      <c r="D199">
        <f aca="true" t="shared" si="9" ref="D199:D207">(0-B199)^2</f>
        <v>0.07746149423232192</v>
      </c>
    </row>
    <row r="200" spans="2:4" ht="12.75">
      <c r="B200">
        <f>NORMDIST(+$A$4+$A$6*19800,0,1,1)</f>
        <v>0.28279981241426566</v>
      </c>
      <c r="C200">
        <v>0</v>
      </c>
      <c r="D200">
        <f t="shared" si="9"/>
        <v>0.07997573390154385</v>
      </c>
    </row>
    <row r="201" spans="2:4" ht="12.75">
      <c r="B201">
        <f>NORMDIST(+$A$4+$A$6*19900,0,1,1)</f>
        <v>0.28731493912855177</v>
      </c>
      <c r="C201">
        <v>0</v>
      </c>
      <c r="D201">
        <f t="shared" si="9"/>
        <v>0.08254987424644342</v>
      </c>
    </row>
    <row r="202" spans="2:4" ht="12.75">
      <c r="B202">
        <f>NORMDIST(+$A$4+$A$6*20000,0,1,1)</f>
        <v>0.29186389035304705</v>
      </c>
      <c r="C202">
        <v>0</v>
      </c>
      <c r="D202">
        <f t="shared" si="9"/>
        <v>0.08518453049201546</v>
      </c>
    </row>
    <row r="203" spans="2:4" ht="12.75">
      <c r="B203">
        <f>NORMDIST(+$A$4+$A$6*20100,0,1,1)</f>
        <v>0.29644610909006985</v>
      </c>
      <c r="C203">
        <v>0</v>
      </c>
      <c r="D203">
        <f t="shared" si="9"/>
        <v>0.0878802955946416</v>
      </c>
    </row>
    <row r="204" spans="2:4" ht="12.75">
      <c r="B204">
        <f>NORMDIST(+$A$4+$A$6*20200,0,1,1)</f>
        <v>0.30106102246047517</v>
      </c>
      <c r="C204">
        <v>0</v>
      </c>
      <c r="D204">
        <f t="shared" si="9"/>
        <v>0.09063773924494674</v>
      </c>
    </row>
    <row r="205" spans="2:4" ht="12.75">
      <c r="B205">
        <f>NORMDIST(+$A$4+$A$6*20300,0,1,1)</f>
        <v>0.305708041893918</v>
      </c>
      <c r="C205">
        <v>0</v>
      </c>
      <c r="D205">
        <f t="shared" si="9"/>
        <v>0.09345740687861351</v>
      </c>
    </row>
    <row r="206" spans="2:4" ht="12.75">
      <c r="B206">
        <f>NORMDIST(+$A$4+$A$6*20400,0,1,1)</f>
        <v>0.3103865633316104</v>
      </c>
      <c r="C206">
        <v>0</v>
      </c>
      <c r="D206">
        <f t="shared" si="9"/>
        <v>0.0963398186968078</v>
      </c>
    </row>
    <row r="207" spans="2:4" ht="12.75">
      <c r="B207">
        <f>NORMDIST(+$A$4+$A$6*20500,0,1,1)</f>
        <v>0.3150959674414834</v>
      </c>
      <c r="C207">
        <v>0</v>
      </c>
      <c r="D207">
        <f t="shared" si="9"/>
        <v>0.09928546869788435</v>
      </c>
    </row>
    <row r="208" spans="2:4" ht="12.75">
      <c r="B208">
        <f>NORMDIST(+$A$4+$A$6*20600,0,1,1)</f>
        <v>0.31983561984564446</v>
      </c>
      <c r="C208">
        <v>1</v>
      </c>
      <c r="D208">
        <f>(1-B208)^2</f>
        <v>0.4626235840307587</v>
      </c>
    </row>
    <row r="209" spans="2:4" ht="12.75">
      <c r="B209">
        <f>NORMDIST(+$A$4+$A$6*20700,0,1,1)</f>
        <v>0.32460487136001426</v>
      </c>
      <c r="C209">
        <v>1</v>
      </c>
      <c r="D209">
        <f>(1-B209)^2</f>
        <v>0.4561585797906229</v>
      </c>
    </row>
    <row r="210" spans="2:4" ht="12.75">
      <c r="B210">
        <f>NORMDIST(+$A$4+$A$6*20800,0,1,1)</f>
        <v>0.32940305824600624</v>
      </c>
      <c r="C210">
        <v>1</v>
      </c>
      <c r="D210">
        <f>(1-B210)^2</f>
        <v>0.4497002582898093</v>
      </c>
    </row>
    <row r="211" spans="2:4" ht="12.75">
      <c r="B211">
        <f>NORMDIST(+$A$4+$A$6*20900,0,1,1)</f>
        <v>0.3342295024741061</v>
      </c>
      <c r="C211">
        <v>1</v>
      </c>
      <c r="D211">
        <f>(1-B211)^2</f>
        <v>0.4432503553758763</v>
      </c>
    </row>
    <row r="212" spans="2:4" ht="12.75">
      <c r="B212">
        <f>NORMDIST(+$A$4+$A$6*21000,0,1,1)</f>
        <v>0.3390835119991864</v>
      </c>
      <c r="C212">
        <v>0</v>
      </c>
      <c r="D212">
        <f aca="true" t="shared" si="10" ref="D212:D218">(0-B212)^2</f>
        <v>0.11497762810970238</v>
      </c>
    </row>
    <row r="213" spans="2:4" ht="12.75">
      <c r="B213">
        <f>NORMDIST(+$A$4+$A$6*21100,0,1,1)</f>
        <v>0.34396438104738525</v>
      </c>
      <c r="C213">
        <v>0</v>
      </c>
      <c r="D213">
        <f t="shared" si="10"/>
        <v>0.11831149542931084</v>
      </c>
    </row>
    <row r="214" spans="2:4" ht="12.75">
      <c r="B214">
        <f>NORMDIST(+$A$4+$A$6*21200,0,1,1)</f>
        <v>0.348871390414361</v>
      </c>
      <c r="C214">
        <v>0</v>
      </c>
      <c r="D214">
        <f t="shared" si="10"/>
        <v>0.12171124704964949</v>
      </c>
    </row>
    <row r="215" spans="2:4" ht="12.75">
      <c r="B215">
        <f>NORMDIST(+$A$4+$A$6*21300,0,1,1)</f>
        <v>0.3538038077747222</v>
      </c>
      <c r="C215">
        <v>0</v>
      </c>
      <c r="D215">
        <f t="shared" si="10"/>
        <v>0.12517713439589256</v>
      </c>
    </row>
    <row r="216" spans="2:4" ht="12.75">
      <c r="B216">
        <f>NORMDIST(+$A$4+$A$6*21400,0,1,1)</f>
        <v>0.35876088800241956</v>
      </c>
      <c r="C216">
        <v>0</v>
      </c>
      <c r="D216">
        <f t="shared" si="10"/>
        <v>0.12870937476028463</v>
      </c>
    </row>
    <row r="217" spans="2:4" ht="12.75">
      <c r="B217">
        <f>NORMDIST(+$A$4+$A$6*21500,0,1,1)</f>
        <v>0.3637418735018738</v>
      </c>
      <c r="C217">
        <v>0</v>
      </c>
      <c r="D217">
        <f t="shared" si="10"/>
        <v>0.13230815053865316</v>
      </c>
    </row>
    <row r="218" spans="2:4" ht="12.75">
      <c r="B218">
        <f>NORMDIST(+$A$4+$A$6*21600,0,1,1)</f>
        <v>0.36874599454959944</v>
      </c>
      <c r="C218">
        <v>0</v>
      </c>
      <c r="D218">
        <f t="shared" si="10"/>
        <v>0.13597360849637322</v>
      </c>
    </row>
    <row r="219" spans="2:4" ht="12.75">
      <c r="B219">
        <f>NORMDIST(+$A$4+$A$6*21700,0,1,1)</f>
        <v>0.373772469646076</v>
      </c>
      <c r="C219">
        <v>1</v>
      </c>
      <c r="D219">
        <f>(1-B219)^2</f>
        <v>0.3921609197731748</v>
      </c>
    </row>
    <row r="220" spans="2:4" ht="12.75">
      <c r="B220">
        <f>NORMDIST(+$A$4+$A$6*21800,0,1,1)</f>
        <v>0.3788205058776005</v>
      </c>
      <c r="C220">
        <v>0</v>
      </c>
      <c r="D220">
        <f>(0-B220)^2</f>
        <v>0.14350497567336118</v>
      </c>
    </row>
    <row r="221" spans="2:4" ht="12.75">
      <c r="B221">
        <f>NORMDIST(+$A$4+$A$6*21900,0,1,1)</f>
        <v>0.38388929928784654</v>
      </c>
      <c r="C221">
        <v>1</v>
      </c>
      <c r="D221">
        <f>(1-B221)^2</f>
        <v>0.37959239553202073</v>
      </c>
    </row>
    <row r="222" spans="2:4" ht="12.75">
      <c r="B222">
        <f>NORMDIST(+$A$4+$A$6*22000,0,1,1)</f>
        <v>0.38897803525884533</v>
      </c>
      <c r="C222">
        <v>0</v>
      </c>
      <c r="D222">
        <f>(0-B222)^2</f>
        <v>0.15130391191383152</v>
      </c>
    </row>
    <row r="223" spans="2:4" ht="12.75">
      <c r="B223">
        <f>NORMDIST(+$A$4+$A$6*22100,0,1,1)</f>
        <v>0.39408588890108853</v>
      </c>
      <c r="C223">
        <v>0</v>
      </c>
      <c r="D223">
        <f>(0-B223)^2</f>
        <v>0.1553036878309611</v>
      </c>
    </row>
    <row r="224" spans="2:4" ht="12.75">
      <c r="B224">
        <f>NORMDIST(+$A$4+$A$6*22200,0,1,1)</f>
        <v>0.3992120254524446</v>
      </c>
      <c r="C224">
        <v>0</v>
      </c>
      <c r="D224">
        <f>(0-B224)^2</f>
        <v>0.1593702412658433</v>
      </c>
    </row>
    <row r="225" spans="2:4" ht="12.75">
      <c r="B225">
        <f>NORMDIST(+$A$4+$A$6*22300,0,1,1)</f>
        <v>0.40435560068556997</v>
      </c>
      <c r="C225">
        <v>0</v>
      </c>
      <c r="D225">
        <f>(0-B225)^2</f>
        <v>0.16350345180578812</v>
      </c>
    </row>
    <row r="226" spans="2:4" ht="12.75">
      <c r="B226">
        <f>NORMDIST(+$A$4+$A$6*22400,0,1,1)</f>
        <v>0.4095157613234841</v>
      </c>
      <c r="C226">
        <v>1</v>
      </c>
      <c r="D226">
        <f>(1-B226)^2</f>
        <v>0.3486716361253846</v>
      </c>
    </row>
    <row r="227" spans="2:4" ht="12.75">
      <c r="B227">
        <f>NORMDIST(+$A$4+$A$6*22500,0,1,1)</f>
        <v>0.41469164546297055</v>
      </c>
      <c r="C227">
        <v>1</v>
      </c>
      <c r="D227">
        <f>(1-B227)^2</f>
        <v>0.34258586989084494</v>
      </c>
    </row>
    <row r="228" spans="2:4" ht="12.75">
      <c r="B228">
        <f>NORMDIST(+$A$4+$A$6*22600,0,1,1)</f>
        <v>0.4198823830054531</v>
      </c>
      <c r="C228">
        <v>1</v>
      </c>
      <c r="D228">
        <f>(1-B228)^2</f>
        <v>0.3365364495474318</v>
      </c>
    </row>
    <row r="229" spans="2:4" ht="12.75">
      <c r="B229">
        <f>NORMDIST(+$A$4+$A$6*22700,0,1,1)</f>
        <v>0.42508709609498985</v>
      </c>
      <c r="C229">
        <v>1</v>
      </c>
      <c r="D229">
        <f>(1-B229)^2</f>
        <v>0.33052484707649143</v>
      </c>
    </row>
    <row r="230" spans="2:4" ht="12.75">
      <c r="B230">
        <f>NORMDIST(+$A$4+$A$6*22800,0,1,1)</f>
        <v>0.43030489956301976</v>
      </c>
      <c r="C230">
        <v>1</v>
      </c>
      <c r="D230">
        <f>(1-B230)^2</f>
        <v>0.324552507461901</v>
      </c>
    </row>
    <row r="231" spans="2:4" ht="12.75">
      <c r="B231">
        <f>NORMDIST(+$A$4+$A$6*22900,0,1,1)</f>
        <v>0.43553490137948436</v>
      </c>
      <c r="C231">
        <v>0</v>
      </c>
      <c r="D231">
        <f aca="true" t="shared" si="11" ref="D231:D237">(0-B231)^2</f>
        <v>0.18969065031963717</v>
      </c>
    </row>
    <row r="232" spans="2:4" ht="12.75">
      <c r="B232">
        <f>NORMDIST(+$A$4+$A$6*23000,0,1,1)</f>
        <v>0.44077620310994303</v>
      </c>
      <c r="C232">
        <v>0</v>
      </c>
      <c r="D232">
        <f t="shared" si="11"/>
        <v>0.19428366122801774</v>
      </c>
    </row>
    <row r="233" spans="2:4" ht="12.75">
      <c r="B233">
        <f>NORMDIST(+$A$4+$A$6*23100,0,1,1)</f>
        <v>0.4460279003782921</v>
      </c>
      <c r="C233">
        <v>0</v>
      </c>
      <c r="D233">
        <f t="shared" si="11"/>
        <v>0.19894088791586767</v>
      </c>
    </row>
    <row r="234" spans="2:4" ht="12.75">
      <c r="B234">
        <f>NORMDIST(+$A$4+$A$6*23200,0,1,1)</f>
        <v>0.45128908333469075</v>
      </c>
      <c r="C234">
        <v>0</v>
      </c>
      <c r="D234">
        <f t="shared" si="11"/>
        <v>0.20366183673706545</v>
      </c>
    </row>
    <row r="235" spans="2:4" ht="12.75">
      <c r="B235">
        <f>NORMDIST(+$A$4+$A$6*23300,0,1,1)</f>
        <v>0.4565588371282896</v>
      </c>
      <c r="C235">
        <v>0</v>
      </c>
      <c r="D235">
        <f t="shared" si="11"/>
        <v>0.20844597175993607</v>
      </c>
    </row>
    <row r="236" spans="2:4" ht="12.75">
      <c r="B236">
        <f>NORMDIST(+$A$4+$A$6*23400,0,1,1)</f>
        <v>0.4618362423843534</v>
      </c>
      <c r="C236">
        <v>0</v>
      </c>
      <c r="D236">
        <f t="shared" si="11"/>
        <v>0.21329271477969922</v>
      </c>
    </row>
    <row r="237" spans="2:4" ht="12.75">
      <c r="B237">
        <f>NORMDIST(+$A$4+$A$6*23500,0,1,1)</f>
        <v>0.4671203756853636</v>
      </c>
      <c r="C237">
        <v>0</v>
      </c>
      <c r="D237">
        <f t="shared" si="11"/>
        <v>0.2182014453804352</v>
      </c>
    </row>
    <row r="238" spans="2:4" ht="12.75">
      <c r="B238">
        <f>NORMDIST(+$A$4+$A$6*23600,0,1,1)</f>
        <v>0.47241031005568057</v>
      </c>
      <c r="C238">
        <v>1</v>
      </c>
      <c r="D238">
        <f>(1-B238)^2</f>
        <v>0.2783508809355431</v>
      </c>
    </row>
    <row r="239" spans="2:4" ht="12.75">
      <c r="B239">
        <f>NORMDIST(+$A$4+$A$6*23700,0,1,1)</f>
        <v>0.47770511544934136</v>
      </c>
      <c r="C239">
        <v>1</v>
      </c>
      <c r="D239">
        <f>(1-B239)^2</f>
        <v>0.27279194642778587</v>
      </c>
    </row>
    <row r="240" spans="2:4" ht="12.75">
      <c r="B240">
        <f>NORMDIST(+$A$4+$A$6*23800,0,1,1)</f>
        <v>0.48300385924056644</v>
      </c>
      <c r="C240">
        <v>1</v>
      </c>
      <c r="D240">
        <f>(1-B240)^2</f>
        <v>0.26728500956014806</v>
      </c>
    </row>
    <row r="241" spans="2:4" ht="12.75">
      <c r="B241">
        <f>NORMDIST(+$A$4+$A$6*23900,0,1,1)</f>
        <v>0.4883056067165429</v>
      </c>
      <c r="C241">
        <v>0</v>
      </c>
      <c r="D241">
        <f>(0-B241)^2</f>
        <v>0.23844236555081105</v>
      </c>
    </row>
    <row r="242" spans="2:4" ht="12.75">
      <c r="B242">
        <f>NORMDIST(+$A$4+$A$6*24000,0,1,1)</f>
        <v>0.49360942157205123</v>
      </c>
      <c r="C242">
        <v>0</v>
      </c>
      <c r="D242">
        <f>(0-B242)^2</f>
        <v>0.243650261064695</v>
      </c>
    </row>
    <row r="243" spans="2:4" ht="12.75">
      <c r="B243">
        <f>NORMDIST(+$A$4+$A$6*24100,0,1,1)</f>
        <v>0.4989143664054988</v>
      </c>
      <c r="C243">
        <v>0</v>
      </c>
      <c r="D243">
        <f>(0-B243)^2</f>
        <v>0.24891554500580032</v>
      </c>
    </row>
    <row r="244" spans="2:4" ht="12.75">
      <c r="B244">
        <f>NORMDIST(+$A$4+$A$6*24200,0,1,1)</f>
        <v>0.5042195032159223</v>
      </c>
      <c r="C244">
        <v>1</v>
      </c>
      <c r="D244">
        <f>(1-B244)^2</f>
        <v>0.24579830099146682</v>
      </c>
    </row>
    <row r="245" spans="2:4" ht="12.75">
      <c r="B245">
        <f>NORMDIST(+$A$4+$A$6*24300,0,1,1)</f>
        <v>0.5095238939005204</v>
      </c>
      <c r="C245">
        <v>1</v>
      </c>
      <c r="D245">
        <f>(1-B245)^2</f>
        <v>0.24056681065450794</v>
      </c>
    </row>
    <row r="246" spans="2:4" ht="12.75">
      <c r="B246">
        <f>NORMDIST(+$A$4+$A$6*24400,0,1,1)</f>
        <v>0.514826600752276</v>
      </c>
      <c r="C246">
        <v>0</v>
      </c>
      <c r="D246">
        <f>(0-B246)^2</f>
        <v>0.2650464288421434</v>
      </c>
    </row>
    <row r="247" spans="2:4" ht="12.75">
      <c r="B247">
        <f>NORMDIST(+$A$4+$A$6*24500,0,1,1)</f>
        <v>0.5201266869572285</v>
      </c>
      <c r="C247">
        <v>0</v>
      </c>
      <c r="D247">
        <f>(0-B247)^2</f>
        <v>0.2705317704851028</v>
      </c>
    </row>
    <row r="248" spans="2:4" ht="12.75">
      <c r="B248">
        <f>NORMDIST(+$A$4+$A$6*24600,0,1,1)</f>
        <v>0.5254232170909575</v>
      </c>
      <c r="C248">
        <v>0</v>
      </c>
      <c r="D248">
        <f>(0-B248)^2</f>
        <v>0.27606955705821146</v>
      </c>
    </row>
    <row r="249" spans="2:4" ht="12.75">
      <c r="B249">
        <f>NORMDIST(+$A$4+$A$6*24700,0,1,1)</f>
        <v>0.5307152576138378</v>
      </c>
      <c r="C249">
        <v>1</v>
      </c>
      <c r="D249">
        <f>(1-B249)^2</f>
        <v>0.22022816943644666</v>
      </c>
    </row>
    <row r="250" spans="2:4" ht="12.75">
      <c r="B250">
        <f>NORMDIST(+$A$4+$A$6*24800,0,1,1)</f>
        <v>0.536001877364629</v>
      </c>
      <c r="C250">
        <v>1</v>
      </c>
      <c r="D250">
        <f>(1-B250)^2</f>
        <v>0.21529425780914876</v>
      </c>
    </row>
    <row r="251" spans="2:4" ht="12.75">
      <c r="B251">
        <f>NORMDIST(+$A$4+$A$6*24900,0,1,1)</f>
        <v>0.5412821480519681</v>
      </c>
      <c r="C251">
        <v>0</v>
      </c>
      <c r="D251">
        <f>(0-B251)^2</f>
        <v>0.2929863637997527</v>
      </c>
    </row>
    <row r="252" spans="2:4" ht="12.75">
      <c r="B252">
        <f>NORMDIST(+$A$4+$A$6*25000,0,1,1)</f>
        <v>0.5465551447433257</v>
      </c>
      <c r="C252">
        <v>1</v>
      </c>
      <c r="D252">
        <f>(1-B252)^2</f>
        <v>0.20561223675874632</v>
      </c>
    </row>
    <row r="253" spans="2:4" ht="12.75">
      <c r="B253">
        <f>NORMDIST(+$A$4+$A$6*25100,0,1,1)</f>
        <v>0.5518199463510048</v>
      </c>
      <c r="C253">
        <v>1</v>
      </c>
      <c r="D253">
        <f>(1-B253)^2</f>
        <v>0.20086536048881617</v>
      </c>
    </row>
    <row r="254" spans="2:4" ht="12.75">
      <c r="B254">
        <f>NORMDIST(+$A$4+$A$6*25200,0,1,1)</f>
        <v>0.5570756361147501</v>
      </c>
      <c r="C254">
        <v>1</v>
      </c>
      <c r="D254">
        <f>(1-B254)^2</f>
        <v>0.1961819921231533</v>
      </c>
    </row>
    <row r="255" spans="2:4" ht="12.75">
      <c r="B255">
        <f>NORMDIST(+$A$4+$A$6*25300,0,1,1)</f>
        <v>0.56232130208055</v>
      </c>
      <c r="C255">
        <v>0</v>
      </c>
      <c r="D255">
        <f>(0-B255)^2</f>
        <v>0.31620524677356515</v>
      </c>
    </row>
    <row r="256" spans="2:4" ht="12.75">
      <c r="B256">
        <f>NORMDIST(+$A$4+$A$6*25400,0,1,1)</f>
        <v>0.5675560375752139</v>
      </c>
      <c r="C256">
        <v>0</v>
      </c>
      <c r="D256">
        <f>(0-B256)^2</f>
        <v>0.3221198557880776</v>
      </c>
    </row>
    <row r="257" spans="2:4" ht="12.75">
      <c r="B257">
        <f>NORMDIST(+$A$4+$A$6*25500,0,1,1)</f>
        <v>0.5727789416763125</v>
      </c>
      <c r="C257">
        <v>1</v>
      </c>
      <c r="D257">
        <f>(1-B257)^2</f>
        <v>0.1825178326752116</v>
      </c>
    </row>
    <row r="258" spans="2:4" ht="12.75">
      <c r="B258">
        <f>NORMDIST(+$A$4+$A$6*25600,0,1,1)</f>
        <v>0.5779891196770761</v>
      </c>
      <c r="C258">
        <v>0</v>
      </c>
      <c r="D258">
        <f>(0-B258)^2</f>
        <v>0.3340714224650814</v>
      </c>
    </row>
    <row r="259" spans="2:4" ht="12.75">
      <c r="B259">
        <f>NORMDIST(+$A$4+$A$6*25700,0,1,1)</f>
        <v>0.5831856835458512</v>
      </c>
      <c r="C259">
        <v>0</v>
      </c>
      <c r="D259">
        <f>(0-B259)^2</f>
        <v>0.3401055414928417</v>
      </c>
    </row>
    <row r="260" spans="2:4" ht="12.75">
      <c r="B260">
        <f>NORMDIST(+$A$4+$A$6*25800,0,1,1)</f>
        <v>0.5883677523797218</v>
      </c>
      <c r="C260">
        <v>1</v>
      </c>
      <c r="D260">
        <f>(1-B260)^2</f>
        <v>0.16944110728092202</v>
      </c>
    </row>
    <row r="261" spans="2:4" ht="12.75">
      <c r="B261">
        <f>NORMDIST(+$A$4+$A$6*25900,0,1,1)</f>
        <v>0.593534452851911</v>
      </c>
      <c r="C261">
        <v>1</v>
      </c>
      <c r="D261">
        <f>(1-B261)^2</f>
        <v>0.16521424101839538</v>
      </c>
    </row>
    <row r="262" spans="2:4" ht="12.75">
      <c r="B262">
        <f>NORMDIST(+$A$4+$A$6*26000,0,1,1)</f>
        <v>0.5986849196525826</v>
      </c>
      <c r="C262">
        <v>0</v>
      </c>
      <c r="D262">
        <f>(0-B262)^2</f>
        <v>0.3584236330194193</v>
      </c>
    </row>
    <row r="263" spans="2:4" ht="12.75">
      <c r="B263">
        <f>NORMDIST(+$A$4+$A$6*26100,0,1,1)</f>
        <v>0.6038182959226759</v>
      </c>
      <c r="C263">
        <v>1</v>
      </c>
      <c r="D263">
        <f>(1-B263)^2</f>
        <v>0.15695994264561242</v>
      </c>
    </row>
    <row r="264" spans="2:4" ht="12.75">
      <c r="B264">
        <f>NORMDIST(+$A$4+$A$6*26200,0,1,1)</f>
        <v>0.608933733680407</v>
      </c>
      <c r="C264">
        <v>0</v>
      </c>
      <c r="D264">
        <f>(0-B264)^2</f>
        <v>0.37080029201396086</v>
      </c>
    </row>
    <row r="265" spans="2:4" ht="12.75">
      <c r="B265">
        <f>NORMDIST(+$A$4+$A$6*26300,0,1,1)</f>
        <v>0.6140303942400901</v>
      </c>
      <c r="C265">
        <v>0</v>
      </c>
      <c r="D265">
        <f>(0-B265)^2</f>
        <v>0.37703332505064047</v>
      </c>
    </row>
    <row r="266" spans="2:4" ht="12.75">
      <c r="B266">
        <f>NORMDIST(+$A$4+$A$6*26400,0,1,1)</f>
        <v>0.6191074486229284</v>
      </c>
      <c r="C266">
        <v>1</v>
      </c>
      <c r="D266">
        <f>(1-B266)^2</f>
        <v>0.1450791356945351</v>
      </c>
    </row>
    <row r="267" spans="2:4" ht="12.75">
      <c r="B267">
        <f>NORMDIST(+$A$4+$A$6*26500,0,1,1)</f>
        <v>0.6241640779594483</v>
      </c>
      <c r="C267">
        <v>0</v>
      </c>
      <c r="D267">
        <f>(0-B267)^2</f>
        <v>0.3895807962149682</v>
      </c>
    </row>
    <row r="268" spans="2:4" ht="12.75">
      <c r="B268">
        <f>NORMDIST(+$A$4+$A$6*26600,0,1,1)</f>
        <v>0.629199473883246</v>
      </c>
      <c r="C268">
        <v>1</v>
      </c>
      <c r="D268">
        <f>(1-B268)^2</f>
        <v>0.13749303016846154</v>
      </c>
    </row>
    <row r="269" spans="2:4" ht="12.75">
      <c r="B269">
        <f>NORMDIST(+$A$4+$A$6*26700,0,1,1)</f>
        <v>0.6342128389157391</v>
      </c>
      <c r="C269">
        <v>0</v>
      </c>
      <c r="D269">
        <f>(0-B269)^2</f>
        <v>0.4022259250455612</v>
      </c>
    </row>
    <row r="270" spans="2:4" ht="12.75">
      <c r="B270">
        <f>NORMDIST(+$A$4+$A$6*26800,0,1,1)</f>
        <v>0.6392033868416164</v>
      </c>
      <c r="C270">
        <v>1</v>
      </c>
      <c r="D270">
        <f>(1-B270)^2</f>
        <v>0.13017419606656033</v>
      </c>
    </row>
    <row r="271" spans="2:4" ht="12.75">
      <c r="B271">
        <f>NORMDIST(+$A$4+$A$6*26900,0,1,1)</f>
        <v>0.6441703430746981</v>
      </c>
      <c r="C271">
        <v>1</v>
      </c>
      <c r="D271">
        <f>(1-B271)^2</f>
        <v>0.12661474474757803</v>
      </c>
    </row>
    <row r="272" spans="2:4" ht="12.75">
      <c r="B272">
        <f>NORMDIST(+$A$4+$A$6*27000,0,1,1)</f>
        <v>0.6491129450139232</v>
      </c>
      <c r="C272">
        <v>1</v>
      </c>
      <c r="D272">
        <f>(1-B272)^2</f>
        <v>0.12312172535680205</v>
      </c>
    </row>
    <row r="273" spans="2:4" ht="12.75">
      <c r="B273">
        <f>NORMDIST(+$A$4+$A$6*27100,0,1,1)</f>
        <v>0.6540304423891996</v>
      </c>
      <c r="C273">
        <v>0</v>
      </c>
      <c r="D273">
        <f>(0-B273)^2</f>
        <v>0.42775581957181213</v>
      </c>
    </row>
    <row r="274" spans="2:4" ht="12.75">
      <c r="B274">
        <f>NORMDIST(+$A$4+$A$6*27200,0,1,1)</f>
        <v>0.6589220975968558</v>
      </c>
      <c r="C274">
        <v>1</v>
      </c>
      <c r="D274">
        <f>(1-B274)^2</f>
        <v>0.11633413550772874</v>
      </c>
    </row>
    <row r="275" spans="2:4" ht="12.75">
      <c r="B275">
        <f>NORMDIST(+$A$4+$A$6*27300,0,1,1)</f>
        <v>0.6637871860244566</v>
      </c>
      <c r="C275">
        <v>1</v>
      </c>
      <c r="D275">
        <f>(1-B275)^2</f>
        <v>0.11303905628135333</v>
      </c>
    </row>
    <row r="276" spans="2:4" ht="12.75">
      <c r="B276">
        <f>NORMDIST(+$A$4+$A$6*27400,0,1,1)</f>
        <v>0.6686249963647445</v>
      </c>
      <c r="C276">
        <v>1</v>
      </c>
      <c r="D276">
        <f>(1-B276)^2</f>
        <v>0.10980939303426561</v>
      </c>
    </row>
    <row r="277" spans="2:4" ht="12.75">
      <c r="B277">
        <f>NORMDIST(+$A$4+$A$6*27500,0,1,1)</f>
        <v>0.6734348309184937</v>
      </c>
      <c r="C277">
        <v>1</v>
      </c>
      <c r="D277">
        <f>(1-B277)^2</f>
        <v>0.10664480965723283</v>
      </c>
    </row>
    <row r="278" spans="2:4" ht="12.75">
      <c r="B278">
        <f>NORMDIST(+$A$4+$A$6*27600,0,1,1)</f>
        <v>0.6782160058860678</v>
      </c>
      <c r="C278">
        <v>1</v>
      </c>
      <c r="D278">
        <f>(1-B278)^2</f>
        <v>0.10354493886791516</v>
      </c>
    </row>
    <row r="279" spans="2:4" ht="12.75">
      <c r="B279">
        <f>NORMDIST(+$A$4+$A$6*27700,0,1,1)</f>
        <v>0.6829678516474896</v>
      </c>
      <c r="C279">
        <v>0</v>
      </c>
      <c r="D279">
        <f>(0-B279)^2</f>
        <v>0.4664450863839874</v>
      </c>
    </row>
    <row r="280" spans="2:4" ht="12.75">
      <c r="B280">
        <f>NORMDIST(+$A$4+$A$6*27800,0,1,1)</f>
        <v>0.6876897130308428</v>
      </c>
      <c r="C280">
        <v>1</v>
      </c>
      <c r="D280">
        <f>(1-B280)^2</f>
        <v>0.09753771534675731</v>
      </c>
    </row>
    <row r="281" spans="2:4" ht="12.75">
      <c r="B281">
        <f>NORMDIST(+$A$4+$A$6*27900,0,1,1)</f>
        <v>0.692380949568841</v>
      </c>
      <c r="C281">
        <v>1</v>
      </c>
      <c r="D281">
        <f>(1-B281)^2</f>
        <v>0.09462948018816794</v>
      </c>
    </row>
    <row r="282" spans="2:4" ht="12.75">
      <c r="B282">
        <f>NORMDIST(+$A$4+$A$6*28000,0,1,1)</f>
        <v>0.6970409357434098</v>
      </c>
      <c r="C282">
        <v>0</v>
      </c>
      <c r="D282">
        <f>(0-B282)^2</f>
        <v>0.4858660661020483</v>
      </c>
    </row>
    <row r="283" spans="2:4" ht="12.75">
      <c r="B283">
        <f>NORMDIST(+$A$4+$A$6*28100,0,1,1)</f>
        <v>0.7016690612181444</v>
      </c>
      <c r="C283">
        <v>1</v>
      </c>
      <c r="D283">
        <f>(1-B283)^2</f>
        <v>0.08900134903446326</v>
      </c>
    </row>
    <row r="284" spans="2:4" ht="12.75">
      <c r="B284">
        <f>NORMDIST(+$A$4+$A$6*28200,0,1,1)</f>
        <v>0.7062647310585168</v>
      </c>
      <c r="C284">
        <v>1</v>
      </c>
      <c r="D284">
        <f>(1-B284)^2</f>
        <v>0.08628040822012545</v>
      </c>
    </row>
    <row r="285" spans="2:4" ht="12.75">
      <c r="B285">
        <f>NORMDIST(+$A$4+$A$6*28300,0,1,1)</f>
        <v>0.7108273659397222</v>
      </c>
      <c r="C285">
        <v>1</v>
      </c>
      <c r="D285">
        <f>(1-B285)^2</f>
        <v>0.08362081228935934</v>
      </c>
    </row>
    <row r="286" spans="2:4" ht="12.75">
      <c r="B286">
        <f>NORMDIST(+$A$4+$A$6*28400,0,1,1)</f>
        <v>0.7153564023420658</v>
      </c>
      <c r="C286">
        <v>0</v>
      </c>
      <c r="D286">
        <f>(0-B286)^2</f>
        <v>0.5117347823717835</v>
      </c>
    </row>
    <row r="287" spans="2:4" ht="12.75">
      <c r="B287">
        <f>NORMDIST(+$A$4+$A$6*28500,0,1,1)</f>
        <v>0.719851292733807</v>
      </c>
      <c r="C287">
        <v>1</v>
      </c>
      <c r="D287">
        <f>(1-B287)^2</f>
        <v>0.0784832981829191</v>
      </c>
    </row>
    <row r="288" spans="2:4" ht="12.75">
      <c r="B288">
        <f>NORMDIST(+$A$4+$A$6*28600,0,1,1)</f>
        <v>0.724311505741392</v>
      </c>
      <c r="C288">
        <v>0</v>
      </c>
      <c r="D288">
        <f>(0-B288)^2</f>
        <v>0.5246271573493626</v>
      </c>
    </row>
    <row r="289" spans="2:4" ht="12.75">
      <c r="B289">
        <f>NORMDIST(+$A$4+$A$6*28700,0,1,1)</f>
        <v>0.7287365263070174</v>
      </c>
      <c r="C289">
        <v>1</v>
      </c>
      <c r="D289">
        <f aca="true" t="shared" si="12" ref="D289:D304">(1-B289)^2</f>
        <v>0.0735838721599835</v>
      </c>
    </row>
    <row r="290" spans="2:4" ht="12.75">
      <c r="B290">
        <f>NORMDIST(+$A$4+$A$6*28800,0,1,1)</f>
        <v>0.7331258558334828</v>
      </c>
      <c r="C290">
        <v>1</v>
      </c>
      <c r="D290">
        <f t="shared" si="12"/>
        <v>0.07122180882461102</v>
      </c>
    </row>
    <row r="291" spans="2:4" ht="12.75">
      <c r="B291">
        <f>NORMDIST(+$A$4+$A$6*28900,0,1,1)</f>
        <v>0.737479012316306</v>
      </c>
      <c r="C291">
        <v>1</v>
      </c>
      <c r="D291">
        <f t="shared" si="12"/>
        <v>0.06891726897442223</v>
      </c>
    </row>
    <row r="292" spans="2:4" ht="12.75">
      <c r="B292">
        <f>NORMDIST(+$A$4+$A$6*29000,0,1,1)</f>
        <v>0.7417955304630836</v>
      </c>
      <c r="C292">
        <v>1</v>
      </c>
      <c r="D292">
        <f t="shared" si="12"/>
        <v>0.06666954808884042</v>
      </c>
    </row>
    <row r="293" spans="2:4" ht="12.75">
      <c r="B293">
        <f>NORMDIST(+$A$4+$A$6*29100,0,1,1)</f>
        <v>0.7460749618000959</v>
      </c>
      <c r="C293">
        <v>1</v>
      </c>
      <c r="D293">
        <f t="shared" si="12"/>
        <v>0.06447792502482275</v>
      </c>
    </row>
    <row r="294" spans="2:4" ht="12.75">
      <c r="B294">
        <f>NORMDIST(+$A$4+$A$6*29200,0,1,1)</f>
        <v>0.7503168747661723</v>
      </c>
      <c r="C294">
        <v>1</v>
      </c>
      <c r="D294">
        <f t="shared" si="12"/>
        <v>0.06234166302653131</v>
      </c>
    </row>
    <row r="295" spans="2:4" ht="12.75">
      <c r="B295">
        <f>NORMDIST(+$A$4+$A$6*29300,0,1,1)</f>
        <v>0.7545208547938373</v>
      </c>
      <c r="C295">
        <v>1</v>
      </c>
      <c r="D295">
        <f t="shared" si="12"/>
        <v>0.06026001073114829</v>
      </c>
    </row>
    <row r="296" spans="2:4" ht="12.75">
      <c r="B296">
        <f>NORMDIST(+$A$4+$A$6*29400,0,1,1)</f>
        <v>0.7586865043777801</v>
      </c>
      <c r="C296">
        <v>1</v>
      </c>
      <c r="D296">
        <f t="shared" si="12"/>
        <v>0.05823220316941516</v>
      </c>
    </row>
    <row r="297" spans="2:4" ht="12.75">
      <c r="B297">
        <f>NORMDIST(+$A$4+$A$6*29500,0,1,1)</f>
        <v>0.7628134431306984</v>
      </c>
      <c r="C297">
        <v>1</v>
      </c>
      <c r="D297">
        <f t="shared" si="12"/>
        <v>0.056257462759514425</v>
      </c>
    </row>
    <row r="298" spans="2:4" ht="12.75">
      <c r="B298">
        <f>NORMDIST(+$A$4+$A$6*29600,0,1,1)</f>
        <v>0.7669013078265813</v>
      </c>
      <c r="C298">
        <v>1</v>
      </c>
      <c r="D298">
        <f t="shared" si="12"/>
        <v>0.054335000292958215</v>
      </c>
    </row>
    <row r="299" spans="2:4" ht="12.75">
      <c r="B299">
        <f>NORMDIST(+$A$4+$A$6*29700,0,1,1)</f>
        <v>0.7709497524315092</v>
      </c>
      <c r="C299">
        <v>1</v>
      </c>
      <c r="D299">
        <f t="shared" si="12"/>
        <v>0.05246401591118692</v>
      </c>
    </row>
    <row r="300" spans="2:4" ht="12.75">
      <c r="B300">
        <f>NORMDIST(+$A$4+$A$6*29800,0,1,1)</f>
        <v>0.7749584481220589</v>
      </c>
      <c r="C300">
        <v>1</v>
      </c>
      <c r="D300">
        <f t="shared" si="12"/>
        <v>0.05064370007163204</v>
      </c>
    </row>
    <row r="301" spans="2:4" ht="12.75">
      <c r="B301">
        <f>NORMDIST(+$A$4+$A$6*29900,0,1,1)</f>
        <v>0.778927083291421</v>
      </c>
      <c r="C301">
        <v>1</v>
      </c>
      <c r="D301">
        <f t="shared" si="12"/>
        <v>0.0488732345020383</v>
      </c>
    </row>
    <row r="302" spans="2:4" ht="12.75">
      <c r="B302">
        <f>NORMDIST(+$A$4+$A$6*30000,0,1,1)</f>
        <v>0.782855363543336</v>
      </c>
      <c r="C302">
        <v>1</v>
      </c>
      <c r="D302">
        <f t="shared" si="12"/>
        <v>0.04715179314189679</v>
      </c>
    </row>
    <row r="303" spans="2:4" ht="12.75">
      <c r="B303">
        <f>NORMDIST(+$A$4+$A$6*30100,0,1,1)</f>
        <v>0.7867430116739824</v>
      </c>
      <c r="C303">
        <v>1</v>
      </c>
      <c r="D303">
        <f t="shared" si="12"/>
        <v>0.0454785430698832</v>
      </c>
    </row>
    <row r="304" spans="2:4" ht="12.75">
      <c r="B304">
        <f>NORMDIST(+$A$4+$A$6*30200,0,1,1)</f>
        <v>0.790589767641952</v>
      </c>
      <c r="C304">
        <v>1</v>
      </c>
      <c r="D304">
        <f t="shared" si="12"/>
        <v>0.04385264541625166</v>
      </c>
    </row>
    <row r="305" spans="2:4" ht="12.75">
      <c r="B305">
        <f>NORMDIST(+$A$4+$A$6*30300,0,1,1)</f>
        <v>0.7943953885264565</v>
      </c>
      <c r="C305">
        <v>0</v>
      </c>
      <c r="D305">
        <f>(0-B305)^2</f>
        <v>0.6310640333120998</v>
      </c>
    </row>
    <row r="306" spans="2:4" ht="12.75">
      <c r="B306">
        <f>NORMDIST(+$A$4+$A$6*30400,0,1,1)</f>
        <v>0.7981596484739328</v>
      </c>
      <c r="C306">
        <v>1</v>
      </c>
      <c r="D306">
        <f>(1-B306)^2</f>
        <v>0.040739527504166366</v>
      </c>
    </row>
    <row r="307" spans="2:4" ht="12.75">
      <c r="B307">
        <f>NORMDIST(+$A$4+$A$6*30500,0,1,1)</f>
        <v>0.8018823386332106</v>
      </c>
      <c r="C307">
        <v>0</v>
      </c>
      <c r="D307">
        <f>(0-B307)^2</f>
        <v>0.643015285011867</v>
      </c>
    </row>
    <row r="308" spans="2:4" ht="12.75">
      <c r="B308">
        <f>NORMDIST(+$A$4+$A$6*30600,0,1,1)</f>
        <v>0.8055632670794245</v>
      </c>
      <c r="C308">
        <v>1</v>
      </c>
      <c r="D308">
        <f aca="true" t="shared" si="13" ref="D308:D323">(1-B308)^2</f>
        <v>0.03780564310882721</v>
      </c>
    </row>
    <row r="309" spans="2:4" ht="12.75">
      <c r="B309">
        <f>NORMDIST(+$A$4+$A$6*30700,0,1,1)</f>
        <v>0.809202258726863</v>
      </c>
      <c r="C309">
        <v>1</v>
      </c>
      <c r="D309">
        <f t="shared" si="13"/>
        <v>0.03640377807493092</v>
      </c>
    </row>
    <row r="310" spans="2:4" ht="12.75">
      <c r="B310">
        <f>NORMDIST(+$A$4+$A$6*30800,0,1,1)</f>
        <v>0.8127991552309508</v>
      </c>
      <c r="C310">
        <v>1</v>
      </c>
      <c r="D310">
        <f t="shared" si="13"/>
        <v>0.03504415628224565</v>
      </c>
    </row>
    <row r="311" spans="2:4" ht="12.75">
      <c r="B311">
        <f>NORMDIST(+$A$4+$A$6*30900,0,1,1)</f>
        <v>0.816353814879575</v>
      </c>
      <c r="C311">
        <v>1</v>
      </c>
      <c r="D311">
        <f t="shared" si="13"/>
        <v>0.033725921309285395</v>
      </c>
    </row>
    <row r="312" spans="2:4" ht="12.75">
      <c r="B312">
        <f>NORMDIST(+$A$4+$A$6*31000,0,1,1)</f>
        <v>0.8198661124739739</v>
      </c>
      <c r="C312">
        <v>1</v>
      </c>
      <c r="D312">
        <f t="shared" si="13"/>
        <v>0.03244821743523902</v>
      </c>
    </row>
    <row r="313" spans="2:4" ht="12.75">
      <c r="B313">
        <f>NORMDIST(+$A$4+$A$6*31100,0,1,1)</f>
        <v>0.8233359391994131</v>
      </c>
      <c r="C313">
        <v>1</v>
      </c>
      <c r="D313">
        <f t="shared" si="13"/>
        <v>0.03121019037855348</v>
      </c>
    </row>
    <row r="314" spans="2:4" ht="12.75">
      <c r="B314">
        <f>NORMDIST(+$A$4+$A$6*31200,0,1,1)</f>
        <v>0.8267632024858835</v>
      </c>
      <c r="C314">
        <v>1</v>
      </c>
      <c r="D314">
        <f t="shared" si="13"/>
        <v>0.03001098801294699</v>
      </c>
    </row>
    <row r="315" spans="2:4" ht="12.75">
      <c r="B315">
        <f>NORMDIST(+$A$4+$A$6*31300,0,1,1)</f>
        <v>0.8301478258590649</v>
      </c>
      <c r="C315">
        <v>1</v>
      </c>
      <c r="D315">
        <f t="shared" si="13"/>
        <v>0.02884976106040255</v>
      </c>
    </row>
    <row r="316" spans="2:4" ht="12.75">
      <c r="B316">
        <f>NORMDIST(+$A$4+$A$6*31400,0,1,1)</f>
        <v>0.8334897487818038</v>
      </c>
      <c r="C316">
        <v>1</v>
      </c>
      <c r="D316">
        <f t="shared" si="13"/>
        <v>0.027725663760746803</v>
      </c>
    </row>
    <row r="317" spans="2:4" ht="12.75">
      <c r="B317">
        <f>NORMDIST(+$A$4+$A$6*31500,0,1,1)</f>
        <v>0.836788926486361</v>
      </c>
      <c r="C317">
        <v>1</v>
      </c>
      <c r="D317">
        <f t="shared" si="13"/>
        <v>0.026637854517474458</v>
      </c>
    </row>
    <row r="318" spans="2:4" ht="12.75">
      <c r="B318">
        <f>NORMDIST(+$A$4+$A$6*31600,0,1,1)</f>
        <v>0.8400453297976926</v>
      </c>
      <c r="C318">
        <v>1</v>
      </c>
      <c r="D318">
        <f t="shared" si="13"/>
        <v>0.025585496519528912</v>
      </c>
    </row>
    <row r="319" spans="2:4" ht="12.75">
      <c r="B319">
        <f>NORMDIST(+$A$4+$A$6*31700,0,1,1)</f>
        <v>0.8432589449480353</v>
      </c>
      <c r="C319">
        <v>1</v>
      </c>
      <c r="D319">
        <f t="shared" si="13"/>
        <v>0.02456775833880302</v>
      </c>
    </row>
    <row r="320" spans="2:4" ht="12.75">
      <c r="B320">
        <f>NORMDIST(+$A$4+$A$6*31800,0,1,1)</f>
        <v>0.8464297733830672</v>
      </c>
      <c r="C320">
        <v>1</v>
      </c>
      <c r="D320">
        <f t="shared" si="13"/>
        <v>0.023583814503176082</v>
      </c>
    </row>
    <row r="321" spans="2:4" ht="12.75">
      <c r="B321">
        <f>NORMDIST(+$A$4+$A$6*31900,0,1,1)</f>
        <v>0.8495578315599279</v>
      </c>
      <c r="C321">
        <v>1</v>
      </c>
      <c r="D321">
        <f t="shared" si="13"/>
        <v>0.02263284604495102</v>
      </c>
    </row>
    <row r="322" spans="2:4" ht="12.75">
      <c r="B322">
        <f>NORMDIST(+$A$4+$A$6*32000,0,1,1)</f>
        <v>0.8526431507373813</v>
      </c>
      <c r="C322">
        <v>1</v>
      </c>
      <c r="D322">
        <f t="shared" si="13"/>
        <v>0.021714041024606133</v>
      </c>
    </row>
    <row r="323" spans="2:4" ht="12.75">
      <c r="B323">
        <f>NORMDIST(+$A$4+$A$6*32100,0,1,1)</f>
        <v>0.8556857767584087</v>
      </c>
      <c r="C323">
        <v>1</v>
      </c>
      <c r="D323">
        <f t="shared" si="13"/>
        <v>0.02082659502982384</v>
      </c>
    </row>
    <row r="324" spans="2:4" ht="12.75">
      <c r="B324">
        <f>NORMDIST(+$A$4+$A$6*32200,0,1,1)</f>
        <v>0.858685769825532</v>
      </c>
      <c r="C324">
        <v>0</v>
      </c>
      <c r="D324">
        <f>(0-B324)^2</f>
        <v>0.7373412513008666</v>
      </c>
    </row>
    <row r="325" spans="2:4" ht="12.75">
      <c r="B325">
        <f>NORMDIST(+$A$4+$A$6*32300,0,1,1)</f>
        <v>0.8616432042691546</v>
      </c>
      <c r="C325">
        <v>1</v>
      </c>
      <c r="D325">
        <f aca="true" t="shared" si="14" ref="D325:D332">(1-B325)^2</f>
        <v>0.019142602924906868</v>
      </c>
    </row>
    <row r="326" spans="2:4" ht="12.75">
      <c r="B326">
        <f>NORMDIST(+$A$4+$A$6*32400,0,1,1)</f>
        <v>0.8645581683092318</v>
      </c>
      <c r="C326">
        <v>1</v>
      </c>
      <c r="D326">
        <f t="shared" si="14"/>
        <v>0.018344489771750374</v>
      </c>
    </row>
    <row r="327" spans="2:4" ht="12.75">
      <c r="B327">
        <f>NORMDIST(+$A$4+$A$6*32500,0,1,1)</f>
        <v>0.8674307638105638</v>
      </c>
      <c r="C327">
        <v>1</v>
      </c>
      <c r="D327">
        <f t="shared" si="14"/>
        <v>0.017574602383850512</v>
      </c>
    </row>
    <row r="328" spans="2:4" ht="12.75">
      <c r="B328">
        <f>NORMDIST(+$A$4+$A$6*32600,0,1,1)</f>
        <v>0.8702611060320244</v>
      </c>
      <c r="C328">
        <v>1</v>
      </c>
      <c r="D328">
        <f t="shared" si="14"/>
        <v>0.016832180608033605</v>
      </c>
    </row>
    <row r="329" spans="2:4" ht="12.75">
      <c r="B329">
        <f>NORMDIST(+$A$4+$A$6*32700,0,1,1)</f>
        <v>0.8730493233700287</v>
      </c>
      <c r="C329">
        <v>1</v>
      </c>
      <c r="D329">
        <f t="shared" si="14"/>
        <v>0.016116474296807536</v>
      </c>
    </row>
    <row r="330" spans="2:4" ht="12.75">
      <c r="B330">
        <f>NORMDIST(+$A$4+$A$6*32800,0,1,1)</f>
        <v>0.875795557096551</v>
      </c>
      <c r="C330">
        <v>1</v>
      </c>
      <c r="D330">
        <f t="shared" si="14"/>
        <v>0.015426743636956125</v>
      </c>
    </row>
    <row r="331" spans="2:4" ht="12.75">
      <c r="B331">
        <f>NORMDIST(+$A$4+$A$6*32900,0,1,1)</f>
        <v>0.8784999610920037</v>
      </c>
      <c r="C331">
        <v>1</v>
      </c>
      <c r="D331">
        <f t="shared" si="14"/>
        <v>0.01476225945464462</v>
      </c>
    </row>
    <row r="332" spans="2:4" ht="12.75">
      <c r="B332">
        <f>NORMDIST(+$A$4+$A$6*33000,0,1,1)</f>
        <v>0.8811627015732875</v>
      </c>
      <c r="C332">
        <v>1</v>
      </c>
      <c r="D332">
        <f t="shared" si="14"/>
        <v>0.014122303497359533</v>
      </c>
    </row>
    <row r="333" spans="2:4" ht="12.75">
      <c r="B333">
        <f>NORMDIST(+$A$4+$A$6*33100,0,1,1)</f>
        <v>0.8837839568173249</v>
      </c>
      <c r="C333">
        <v>0</v>
      </c>
      <c r="D333">
        <f>(0-B333)^2</f>
        <v>0.7810740823276873</v>
      </c>
    </row>
    <row r="334" spans="2:4" ht="12.75">
      <c r="B334">
        <f>NORMDIST(+$A$4+$A$6*33200,0,1,1)</f>
        <v>0.8863639168803895</v>
      </c>
      <c r="C334">
        <v>1</v>
      </c>
      <c r="D334">
        <f>(1-B334)^2</f>
        <v>0.012913159386767023</v>
      </c>
    </row>
    <row r="335" spans="2:4" ht="12.75">
      <c r="B335">
        <f>NORMDIST(+$A$4+$A$6*33300,0,1,1)</f>
        <v>0.8889027833135413</v>
      </c>
      <c r="C335">
        <v>0</v>
      </c>
      <c r="D335">
        <f>(0-B335)^2</f>
        <v>0.7901481581825606</v>
      </c>
    </row>
    <row r="336" spans="2:4" ht="12.75">
      <c r="B336">
        <f>NORMDIST(+$A$4+$A$6*33400,0,1,1)</f>
        <v>0.8914007688744789</v>
      </c>
      <c r="C336">
        <v>1</v>
      </c>
      <c r="D336">
        <f>(1-B336)^2</f>
        <v>0.011793793001054341</v>
      </c>
    </row>
    <row r="337" spans="2:4" ht="12.75">
      <c r="B337">
        <f>NORMDIST(+$A$4+$A$6*33500,0,1,1)</f>
        <v>0.8938580972361191</v>
      </c>
      <c r="C337">
        <v>0</v>
      </c>
      <c r="D337">
        <f>(0-B337)^2</f>
        <v>0.7989822979945753</v>
      </c>
    </row>
    <row r="338" spans="2:4" ht="12.75">
      <c r="B338">
        <f>NORMDIST(+$A$4+$A$6*33600,0,1,1)</f>
        <v>0.8962750026922097</v>
      </c>
      <c r="C338">
        <v>1</v>
      </c>
      <c r="D338">
        <f aca="true" t="shared" si="15" ref="D338:D346">(1-B338)^2</f>
        <v>0.0107588750665011</v>
      </c>
    </row>
    <row r="339" spans="2:4" ht="12.75">
      <c r="B339">
        <f>NORMDIST(+$A$4+$A$6*33700,0,1,1)</f>
        <v>0.898651729860285</v>
      </c>
      <c r="C339">
        <v>1</v>
      </c>
      <c r="D339">
        <f t="shared" si="15"/>
        <v>0.010271471860312653</v>
      </c>
    </row>
    <row r="340" spans="2:4" ht="12.75">
      <c r="B340">
        <f>NORMDIST(+$A$4+$A$6*33800,0,1,1)</f>
        <v>0.9009885333822645</v>
      </c>
      <c r="C340">
        <v>1</v>
      </c>
      <c r="D340">
        <f t="shared" si="15"/>
        <v>0.009803270521794956</v>
      </c>
    </row>
    <row r="341" spans="2:4" ht="12.75">
      <c r="B341">
        <f>NORMDIST(+$A$4+$A$6*33900,0,1,1)</f>
        <v>0.9032856776229969</v>
      </c>
      <c r="C341">
        <v>1</v>
      </c>
      <c r="D341">
        <f t="shared" si="15"/>
        <v>0.009353660152842875</v>
      </c>
    </row>
    <row r="342" spans="2:4" ht="12.75">
      <c r="B342">
        <f>NORMDIST(+$A$4+$A$6*34000,0,1,1)</f>
        <v>0.9055434363670516</v>
      </c>
      <c r="C342">
        <v>1</v>
      </c>
      <c r="D342">
        <f t="shared" si="15"/>
        <v>0.008922042413345233</v>
      </c>
    </row>
    <row r="343" spans="2:4" ht="12.75">
      <c r="B343">
        <f>NORMDIST(+$A$4+$A$6*34100,0,1,1)</f>
        <v>0.9077620925140482</v>
      </c>
      <c r="C343">
        <v>1</v>
      </c>
      <c r="D343">
        <f t="shared" si="15"/>
        <v>0.00850783157738701</v>
      </c>
    </row>
    <row r="344" spans="2:4" ht="12.75">
      <c r="B344">
        <f>NORMDIST(+$A$4+$A$6*34200,0,1,1)</f>
        <v>0.9099419377728162</v>
      </c>
      <c r="C344">
        <v>1</v>
      </c>
      <c r="D344">
        <f t="shared" si="15"/>
        <v>0.008110454572115313</v>
      </c>
    </row>
    <row r="345" spans="2:4" ht="12.75">
      <c r="B345">
        <f>NORMDIST(+$A$4+$A$6*34300,0,1,1)</f>
        <v>0.9120832723546818</v>
      </c>
      <c r="C345">
        <v>1</v>
      </c>
      <c r="D345">
        <f t="shared" si="15"/>
        <v>0.0077293509998610605</v>
      </c>
    </row>
    <row r="346" spans="2:4" ht="12.75">
      <c r="B346">
        <f>NORMDIST(+$A$4+$A$6*34400,0,1,1)</f>
        <v>0.91418640466615</v>
      </c>
      <c r="C346">
        <v>1</v>
      </c>
      <c r="D346">
        <f t="shared" si="15"/>
        <v>0.007363973144121767</v>
      </c>
    </row>
    <row r="347" spans="2:4" ht="12.75">
      <c r="B347">
        <f>NORMDIST(+$A$4+$A$6*34500,0,1,1)</f>
        <v>0.9162516510012775</v>
      </c>
      <c r="C347">
        <v>0</v>
      </c>
      <c r="D347">
        <f>(0-B347)^2</f>
        <v>0.8395170879625667</v>
      </c>
    </row>
    <row r="348" spans="2:4" ht="12.75">
      <c r="B348">
        <f>NORMDIST(+$A$4+$A$6*34600,0,1,1)</f>
        <v>0.9182793352340018</v>
      </c>
      <c r="C348">
        <v>1</v>
      </c>
      <c r="D348">
        <f aca="true" t="shared" si="16" ref="D348:D359">(1-B348)^2</f>
        <v>0.006678267049796652</v>
      </c>
    </row>
    <row r="349" spans="2:4" ht="12.75">
      <c r="B349">
        <f>NORMDIST(+$A$4+$A$6*34700,0,1,1)</f>
        <v>0.9202697885107018</v>
      </c>
      <c r="C349">
        <v>1</v>
      </c>
      <c r="D349">
        <f t="shared" si="16"/>
        <v>0.006356906624128211</v>
      </c>
    </row>
    <row r="350" spans="2:4" ht="12.75">
      <c r="B350">
        <f>NORMDIST(+$A$4+$A$6*34800,0,1,1)</f>
        <v>0.9222233489432501</v>
      </c>
      <c r="C350">
        <v>1</v>
      </c>
      <c r="D350">
        <f t="shared" si="16"/>
        <v>0.006049207449603437</v>
      </c>
    </row>
    <row r="351" spans="2:4" ht="12.75">
      <c r="B351">
        <f>NORMDIST(+$A$4+$A$6*34900,0,1,1)</f>
        <v>0.9241403613028222</v>
      </c>
      <c r="C351">
        <v>1</v>
      </c>
      <c r="D351">
        <f t="shared" si="16"/>
        <v>0.005754684783266359</v>
      </c>
    </row>
    <row r="352" spans="2:4" ht="12.75">
      <c r="B352">
        <f>NORMDIST(+$A$4+$A$6*35000,0,1,1)</f>
        <v>0.9260211767147144</v>
      </c>
      <c r="C352">
        <v>1</v>
      </c>
      <c r="D352">
        <f t="shared" si="16"/>
        <v>0.005472866294675515</v>
      </c>
    </row>
    <row r="353" spans="2:4" ht="12.75">
      <c r="B353">
        <f>NORMDIST(+$A$4+$A$6*35100,0,1,1)</f>
        <v>0.9278661523544182</v>
      </c>
      <c r="C353">
        <v>1</v>
      </c>
      <c r="D353">
        <f t="shared" si="16"/>
        <v>0.0052032919761560124</v>
      </c>
    </row>
    <row r="354" spans="2:4" ht="12.75">
      <c r="B354">
        <f>NORMDIST(+$A$4+$A$6*35200,0,1,1)</f>
        <v>0.929675651145194</v>
      </c>
      <c r="C354">
        <v>1</v>
      </c>
      <c r="D354">
        <f t="shared" si="16"/>
        <v>0.004945514041852452</v>
      </c>
    </row>
    <row r="355" spans="2:4" ht="12.75">
      <c r="B355">
        <f>NORMDIST(+$A$4+$A$6*35300,0,1,1)</f>
        <v>0.931450041457383</v>
      </c>
      <c r="C355">
        <v>1</v>
      </c>
      <c r="D355">
        <f t="shared" si="16"/>
        <v>0.004699096816194514</v>
      </c>
    </row>
    <row r="356" spans="2:4" ht="12.75">
      <c r="B356">
        <f>NORMDIST(+$A$4+$A$6*35400,0,1,1)</f>
        <v>0.9331896968096831</v>
      </c>
      <c r="C356">
        <v>1</v>
      </c>
      <c r="D356">
        <f t="shared" si="16"/>
        <v>0.004463616612382067</v>
      </c>
    </row>
    <row r="357" spans="2:4" ht="12.75">
      <c r="B357">
        <f>NORMDIST(+$A$4+$A$6*35500,0,1,1)</f>
        <v>0.9348949955726154</v>
      </c>
      <c r="C357">
        <v>1</v>
      </c>
      <c r="D357">
        <f t="shared" si="16"/>
        <v>0.004238661601489775</v>
      </c>
    </row>
    <row r="358" spans="2:4" ht="12.75">
      <c r="B358">
        <f>NORMDIST(+$A$4+$A$6*35600,0,1,1)</f>
        <v>0.9365663206743984</v>
      </c>
      <c r="C358">
        <v>1</v>
      </c>
      <c r="D358">
        <f t="shared" si="16"/>
        <v>0.004023831672783258</v>
      </c>
    </row>
    <row r="359" spans="2:4" ht="12.75">
      <c r="B359">
        <f>NORMDIST(+$A$4+$A$6*35700,0,1,1)</f>
        <v>0.9382040593094373</v>
      </c>
      <c r="C359">
        <v>1</v>
      </c>
      <c r="D359">
        <f t="shared" si="16"/>
        <v>0.003818738285831544</v>
      </c>
    </row>
    <row r="360" spans="2:4" ht="12.75">
      <c r="B360">
        <f>NORMDIST(+$A$4+$A$6*35800,0,1,1)</f>
        <v>0.9398086026496344</v>
      </c>
      <c r="C360">
        <v>0</v>
      </c>
      <c r="D360">
        <f>(0-B360)^2</f>
        <v>0.8832402096142584</v>
      </c>
    </row>
    <row r="361" spans="2:4" ht="12.75">
      <c r="B361">
        <f>NORMDIST(+$A$4+$A$6*35900,0,1,1)</f>
        <v>0.9413803455587159</v>
      </c>
      <c r="C361">
        <v>1</v>
      </c>
      <c r="D361">
        <f aca="true" t="shared" si="17" ref="D361:D374">(1-B361)^2</f>
        <v>0.0034362638868155634</v>
      </c>
    </row>
    <row r="362" spans="2:4" ht="12.75">
      <c r="B362">
        <f>NORMDIST(+$A$4+$A$6*36000,0,1,1)</f>
        <v>0.9429196863097633</v>
      </c>
      <c r="C362">
        <v>1</v>
      </c>
      <c r="D362">
        <f t="shared" si="17"/>
        <v>0.0032581622109758225</v>
      </c>
    </row>
    <row r="363" spans="2:4" ht="12.75">
      <c r="B363">
        <f>NORMDIST(+$A$4+$A$6*36100,0,1,1)</f>
        <v>0.9444270263061327</v>
      </c>
      <c r="C363">
        <v>1</v>
      </c>
      <c r="D363">
        <f t="shared" si="17"/>
        <v>0.003088355405179263</v>
      </c>
    </row>
    <row r="364" spans="2:4" ht="12.75">
      <c r="B364">
        <f>NORMDIST(+$A$4+$A$6*36200,0,1,1)</f>
        <v>0.9459027698059372</v>
      </c>
      <c r="C364">
        <v>1</v>
      </c>
      <c r="D364">
        <f t="shared" si="17"/>
        <v>0.0029265103146694157</v>
      </c>
    </row>
    <row r="365" spans="2:4" ht="12.75">
      <c r="B365">
        <f>NORMDIST(+$A$4+$A$6*36300,0,1,1)</f>
        <v>0.9473473236502556</v>
      </c>
      <c r="C365">
        <v>1</v>
      </c>
      <c r="D365">
        <f t="shared" si="17"/>
        <v>0.0027723043267909283</v>
      </c>
    </row>
    <row r="366" spans="2:4" ht="12.75">
      <c r="B366">
        <f>NORMDIST(+$A$4+$A$6*36400,0,1,1)</f>
        <v>0.948761096995234</v>
      </c>
      <c r="C366">
        <v>1</v>
      </c>
      <c r="D366">
        <f t="shared" si="17"/>
        <v>0.002625425181131815</v>
      </c>
    </row>
    <row r="367" spans="2:4" ht="12.75">
      <c r="B367">
        <f>NORMDIST(+$A$4+$A$6*36500,0,1,1)</f>
        <v>0.9501445010482258</v>
      </c>
      <c r="C367">
        <v>1</v>
      </c>
      <c r="D367">
        <f t="shared" si="17"/>
        <v>0.0024855707757303596</v>
      </c>
    </row>
    <row r="368" spans="2:4" ht="12.75">
      <c r="B368">
        <f>NORMDIST(+$A$4+$A$6*36600,0,1,1)</f>
        <v>0.9514979488081208</v>
      </c>
      <c r="C368">
        <v>1</v>
      </c>
      <c r="D368">
        <f t="shared" si="17"/>
        <v>0.002352448969819673</v>
      </c>
    </row>
    <row r="369" spans="2:4" ht="12.75">
      <c r="B369">
        <f>NORMDIST(+$A$4+$A$6*36700,0,1,1)</f>
        <v>0.9528218548099978</v>
      </c>
      <c r="C369">
        <v>1</v>
      </c>
      <c r="D369">
        <f t="shared" si="17"/>
        <v>0.002225777383568926</v>
      </c>
    </row>
    <row r="370" spans="2:4" ht="12.75">
      <c r="B370">
        <f>NORMDIST(+$A$4+$A$6*36800,0,1,1)</f>
        <v>0.9541166348742309</v>
      </c>
      <c r="C370">
        <v>1</v>
      </c>
      <c r="D370">
        <f t="shared" si="17"/>
        <v>0.0021052831952646416</v>
      </c>
    </row>
    <row r="371" spans="2:4" ht="12.75">
      <c r="B371">
        <f>NORMDIST(+$A$4+$A$6*36900,0,1,1)</f>
        <v>0.955382705860173</v>
      </c>
      <c r="C371">
        <v>1</v>
      </c>
      <c r="D371">
        <f t="shared" si="17"/>
        <v>0.001990702936359837</v>
      </c>
    </row>
    <row r="372" spans="2:4" ht="12.75">
      <c r="B372">
        <f>NORMDIST(+$A$4+$A$6*37000,0,1,1)</f>
        <v>0.9566204854245327</v>
      </c>
      <c r="C372">
        <v>1</v>
      </c>
      <c r="D372">
        <f t="shared" si="17"/>
        <v>0.0018817822848031793</v>
      </c>
    </row>
    <row r="373" spans="2:4" ht="12.75">
      <c r="B373">
        <f>NORMDIST(+$A$4+$A$6*37100,0,1,1)</f>
        <v>0.957830391784547</v>
      </c>
      <c r="C373">
        <v>1</v>
      </c>
      <c r="D373">
        <f t="shared" si="17"/>
        <v>0.0017782758570448023</v>
      </c>
    </row>
    <row r="374" spans="2:4" ht="12.75">
      <c r="B374">
        <f>NORMDIST(+$A$4+$A$6*37200,0,1,1)</f>
        <v>0.9590128434860582</v>
      </c>
      <c r="C374">
        <v>1</v>
      </c>
      <c r="D374">
        <f t="shared" si="17"/>
        <v>0.0016799469990983619</v>
      </c>
    </row>
    <row r="375" spans="2:4" ht="12.75">
      <c r="B375">
        <f>NORMDIST(+$A$4+$A$6*37300,0,1,1)</f>
        <v>0.9601682591765806</v>
      </c>
      <c r="C375">
        <v>0</v>
      </c>
      <c r="D375">
        <f>(0-B375)^2</f>
        <v>0.9219230859301851</v>
      </c>
    </row>
    <row r="376" spans="2:4" ht="12.75">
      <c r="B376">
        <f>NORMDIST(+$A$4+$A$6*37400,0,1,1)</f>
        <v>0.961297057383446</v>
      </c>
      <c r="C376">
        <v>1</v>
      </c>
      <c r="D376">
        <f>(1-B376)^2</f>
        <v>0.0014979177671802756</v>
      </c>
    </row>
    <row r="377" spans="2:4" ht="12.75">
      <c r="B377">
        <f>NORMDIST(+$A$4+$A$6*37500,0,1,1)</f>
        <v>0.9623996562971056</v>
      </c>
      <c r="C377">
        <v>1</v>
      </c>
      <c r="D377">
        <f>(1-B377)^2</f>
        <v>0.001413785846575794</v>
      </c>
    </row>
    <row r="378" spans="2:4" ht="12.75">
      <c r="B378">
        <f>NORMDIST(+$A$4+$A$6*37600,0,1,1)</f>
        <v>0.9634764735596587</v>
      </c>
      <c r="C378">
        <v>1</v>
      </c>
      <c r="D378">
        <f>(1-B378)^2</f>
        <v>0.0013339679836383094</v>
      </c>
    </row>
    <row r="379" spans="2:4" ht="12.75">
      <c r="B379">
        <f>NORMDIST(+$A$4+$A$6*37700,0,1,1)</f>
        <v>0.9645279260586733</v>
      </c>
      <c r="C379">
        <v>0</v>
      </c>
      <c r="D379">
        <f>(0-B379)^2</f>
        <v>0.9303141201470456</v>
      </c>
    </row>
    <row r="380" spans="2:4" ht="12.75">
      <c r="B380">
        <f>NORMDIST(+$A$4+$A$6*37800,0,1,1)</f>
        <v>0.965554429726355</v>
      </c>
      <c r="C380">
        <v>1</v>
      </c>
      <c r="D380">
        <f aca="true" t="shared" si="18" ref="D380:D388">(1-B380)^2</f>
        <v>0.0011864973114766183</v>
      </c>
    </row>
    <row r="381" spans="2:4" ht="12.75">
      <c r="B381">
        <f>NORMDIST(+$A$4+$A$6*37900,0,1,1)</f>
        <v>0.9665563993441126</v>
      </c>
      <c r="C381">
        <v>1</v>
      </c>
      <c r="D381">
        <f t="shared" si="18"/>
        <v>0.0011184744248304696</v>
      </c>
    </row>
    <row r="382" spans="2:4" ht="12.75">
      <c r="B382">
        <f>NORMDIST(+$A$4+$A$6*38000,0,1,1)</f>
        <v>0.9675342483525669</v>
      </c>
      <c r="C382">
        <v>1</v>
      </c>
      <c r="D382">
        <f t="shared" si="18"/>
        <v>0.0010540250300328084</v>
      </c>
    </row>
    <row r="383" spans="2:4" ht="12.75">
      <c r="B383">
        <f>NORMDIST(+$A$4+$A$6*38100,0,1,1)</f>
        <v>0.9684883886670349</v>
      </c>
      <c r="C383">
        <v>1</v>
      </c>
      <c r="D383">
        <f t="shared" si="18"/>
        <v>0.000992981648799854</v>
      </c>
    </row>
    <row r="384" spans="2:4" ht="12.75">
      <c r="B384">
        <f>NORMDIST(+$A$4+$A$6*38200,0,1,1)</f>
        <v>0.9694192304985239</v>
      </c>
      <c r="C384">
        <v>1</v>
      </c>
      <c r="D384">
        <f t="shared" si="18"/>
        <v>0.0009351834633024136</v>
      </c>
    </row>
    <row r="385" spans="2:4" ht="12.75">
      <c r="B385">
        <f>NORMDIST(+$A$4+$A$6*38300,0,1,1)</f>
        <v>0.9703271821802533</v>
      </c>
      <c r="C385">
        <v>1</v>
      </c>
      <c r="D385">
        <f t="shared" si="18"/>
        <v>0.0008804761173638793</v>
      </c>
    </row>
    <row r="386" spans="2:4" ht="12.75">
      <c r="B386">
        <f>NORMDIST(+$A$4+$A$6*38400,0,1,1)</f>
        <v>0.9712126499997265</v>
      </c>
      <c r="C386">
        <v>1</v>
      </c>
      <c r="D386">
        <f t="shared" si="18"/>
        <v>0.0008287115200382494</v>
      </c>
    </row>
    <row r="387" spans="2:4" ht="12.75">
      <c r="B387">
        <f>NORMDIST(+$A$4+$A$6*38500,0,1,1)</f>
        <v>0.9720760380363594</v>
      </c>
      <c r="C387">
        <v>1</v>
      </c>
      <c r="D387">
        <f t="shared" si="18"/>
        <v>0.0007797476517468444</v>
      </c>
    </row>
    <row r="388" spans="2:4" ht="12.75">
      <c r="B388">
        <f>NORMDIST(+$A$4+$A$6*38600,0,1,1)</f>
        <v>0.9729177480046738</v>
      </c>
      <c r="C388">
        <v>1</v>
      </c>
      <c r="D388">
        <f t="shared" si="18"/>
        <v>0.0007334483731383506</v>
      </c>
    </row>
    <row r="389" spans="2:4" ht="12.75">
      <c r="B389">
        <f>NORMDIST(+$A$4+$A$6*38700,0,1,1)</f>
        <v>0.973738179103049</v>
      </c>
      <c r="C389">
        <v>0</v>
      </c>
      <c r="D389">
        <f>(0-B389)^2</f>
        <v>0.9481660414429216</v>
      </c>
    </row>
    <row r="390" spans="2:4" ht="12.75">
      <c r="B390">
        <f>NORMDIST(+$A$4+$A$6*38800,0,1,1)</f>
        <v>0.9745377278680312</v>
      </c>
      <c r="C390">
        <v>1</v>
      </c>
      <c r="D390">
        <f aca="true" t="shared" si="19" ref="D390:D421">(1-B390)^2</f>
        <v>0.0006483273021224366</v>
      </c>
    </row>
    <row r="391" spans="2:4" ht="12.75">
      <c r="B391">
        <f>NORMDIST(+$A$4+$A$6*38900,0,1,1)</f>
        <v>0.9753167880341831</v>
      </c>
      <c r="C391">
        <v>1</v>
      </c>
      <c r="D391">
        <f t="shared" si="19"/>
        <v>0.000609260952949447</v>
      </c>
    </row>
    <row r="392" spans="2:4" ht="12.75">
      <c r="B392">
        <f>NORMDIST(+$A$4+$A$6*39000,0,1,1)</f>
        <v>0.9760757503994564</v>
      </c>
      <c r="C392">
        <v>1</v>
      </c>
      <c r="D392">
        <f t="shared" si="19"/>
        <v>0.0005723697189491117</v>
      </c>
    </row>
    <row r="393" spans="2:4" ht="12.75">
      <c r="B393">
        <f>NORMDIST(+$A$4+$A$6*39100,0,1,1)</f>
        <v>0.976815002696066</v>
      </c>
      <c r="C393">
        <v>1</v>
      </c>
      <c r="D393">
        <f t="shared" si="19"/>
        <v>0.0005375440999834257</v>
      </c>
    </row>
    <row r="394" spans="2:4" ht="12.75">
      <c r="B394">
        <f>NORMDIST(+$A$4+$A$6*39200,0,1,1)</f>
        <v>0.9775349294668331</v>
      </c>
      <c r="C394">
        <v>1</v>
      </c>
      <c r="D394">
        <f t="shared" si="19"/>
        <v>0.0005046793940601651</v>
      </c>
    </row>
    <row r="395" spans="2:4" ht="12.75">
      <c r="B395">
        <f>NORMDIST(+$A$4+$A$6*39300,0,1,1)</f>
        <v>0.9782359119469672</v>
      </c>
      <c r="C395">
        <v>1</v>
      </c>
      <c r="D395">
        <f t="shared" si="19"/>
        <v>0.00047367552878016327</v>
      </c>
    </row>
    <row r="396" spans="2:4" ht="12.75">
      <c r="B396">
        <f>NORMDIST(+$A$4+$A$6*39400,0,1,1)</f>
        <v>0.9789183279512468</v>
      </c>
      <c r="C396">
        <v>1</v>
      </c>
      <c r="D396">
        <f t="shared" si="19"/>
        <v>0.0004444368963711828</v>
      </c>
    </row>
    <row r="397" spans="2:4" ht="12.75">
      <c r="B397">
        <f>NORMDIST(+$A$4+$A$6*39500,0,1,1)</f>
        <v>0.9795825517665562</v>
      </c>
      <c r="C397">
        <v>1</v>
      </c>
      <c r="D397">
        <f t="shared" si="19"/>
        <v>0.00041687219236535833</v>
      </c>
    </row>
    <row r="398" spans="2:4" ht="12.75">
      <c r="B398">
        <f>NORMDIST(+$A$4+$A$6*39600,0,1,1)</f>
        <v>0.9802289540497287</v>
      </c>
      <c r="C398">
        <v>1</v>
      </c>
      <c r="D398">
        <f t="shared" si="19"/>
        <v>0.0003908942579677411</v>
      </c>
    </row>
    <row r="399" spans="2:4" ht="12.75">
      <c r="B399">
        <f>NORMDIST(+$A$4+$A$6*39700,0,1,1)</f>
        <v>0.9808579017306484</v>
      </c>
      <c r="C399">
        <v>1</v>
      </c>
      <c r="D399">
        <f t="shared" si="19"/>
        <v>0.00036641992615351536</v>
      </c>
    </row>
    <row r="400" spans="2:4" ht="12.75">
      <c r="B400">
        <f>NORMDIST(+$A$4+$A$6*39800,0,1,1)</f>
        <v>0.981469757920551</v>
      </c>
      <c r="C400">
        <v>1</v>
      </c>
      <c r="D400">
        <f t="shared" si="19"/>
        <v>0.00034336987152298155</v>
      </c>
    </row>
    <row r="401" spans="2:4" ht="12.75">
      <c r="B401">
        <f>NORMDIST(+$A$4+$A$6*39900,0,1,1)</f>
        <v>0.9820648818254636</v>
      </c>
      <c r="C401">
        <v>1</v>
      </c>
      <c r="D401">
        <f t="shared" si="19"/>
        <v>0.00032166846393458633</v>
      </c>
    </row>
    <row r="402" spans="2:4" ht="12.75">
      <c r="B402">
        <f>NORMDIST(+$A$4+$A$6*40000,0,1,1)</f>
        <v>0.9826436286647235</v>
      </c>
      <c r="C402">
        <v>1</v>
      </c>
      <c r="D402">
        <f t="shared" si="19"/>
        <v>0.0003012436259280062</v>
      </c>
    </row>
    <row r="403" spans="2:4" ht="12.75">
      <c r="B403">
        <f>NORMDIST(+$A$4+$A$6*40100,0,1,1)</f>
        <v>0.9832063495945036</v>
      </c>
      <c r="C403">
        <v>1</v>
      </c>
      <c r="D403">
        <f t="shared" si="19"/>
        <v>0.00028202669394202965</v>
      </c>
    </row>
    <row r="404" spans="2:4" ht="12.75">
      <c r="B404">
        <f>NORMDIST(+$A$4+$A$6*40200,0,1,1)</f>
        <v>0.9837533916362776</v>
      </c>
      <c r="C404">
        <v>1</v>
      </c>
      <c r="D404">
        <f t="shared" si="19"/>
        <v>0.00026395228332417404</v>
      </c>
    </row>
    <row r="405" spans="2:4" ht="12.75">
      <c r="B405">
        <f>NORMDIST(+$A$4+$A$6*40300,0,1,1)</f>
        <v>0.9842850976101489</v>
      </c>
      <c r="C405">
        <v>1</v>
      </c>
      <c r="D405">
        <f t="shared" si="19"/>
        <v>0.0002469581571225469</v>
      </c>
    </row>
    <row r="406" spans="2:4" ht="12.75">
      <c r="B406">
        <f>NORMDIST(+$A$4+$A$6*40400,0,1,1)</f>
        <v>0.9848018060729673</v>
      </c>
      <c r="C406">
        <v>1</v>
      </c>
      <c r="D406">
        <f t="shared" si="19"/>
        <v>0.00023098509864369362</v>
      </c>
    </row>
    <row r="407" spans="2:4" ht="12.75">
      <c r="B407">
        <f>NORMDIST(+$A$4+$A$6*40500,0,1,1)</f>
        <v>0.9853038512611538</v>
      </c>
      <c r="C407">
        <v>1</v>
      </c>
      <c r="D407">
        <f t="shared" si="19"/>
        <v>0.0002159767877542899</v>
      </c>
    </row>
    <row r="408" spans="2:4" ht="12.75">
      <c r="B408">
        <f>NORMDIST(+$A$4+$A$6*40600,0,1,1)</f>
        <v>0.9857915630381484</v>
      </c>
      <c r="C408">
        <v>1</v>
      </c>
      <c r="D408">
        <f t="shared" si="19"/>
        <v>0.0002018796808989104</v>
      </c>
    </row>
    <row r="409" spans="2:4" ht="12.75">
      <c r="B409">
        <f>NORMDIST(+$A$4+$A$6*40700,0,1,1)</f>
        <v>0.9862652668464</v>
      </c>
      <c r="C409">
        <v>1</v>
      </c>
      <c r="D409">
        <f t="shared" si="19"/>
        <v>0.00018864289480059805</v>
      </c>
    </row>
    <row r="410" spans="2:4" ht="12.75">
      <c r="B410">
        <f>NORMDIST(+$A$4+$A$6*40800,0,1,1)</f>
        <v>0.9867252836638087</v>
      </c>
      <c r="C410">
        <v>1</v>
      </c>
      <c r="D410">
        <f t="shared" si="19"/>
        <v>0.00017621809380634313</v>
      </c>
    </row>
    <row r="411" spans="2:4" ht="12.75">
      <c r="B411">
        <f>NORMDIST(+$A$4+$A$6*40900,0,1,1)</f>
        <v>0.9871719299645294</v>
      </c>
      <c r="C411">
        <v>1</v>
      </c>
      <c r="D411">
        <f t="shared" si="19"/>
        <v>0.00016455938083493856</v>
      </c>
    </row>
    <row r="412" spans="2:4" ht="12.75">
      <c r="B412">
        <f>NORMDIST(+$A$4+$A$6*41000,0,1,1)</f>
        <v>0.9876055176840488</v>
      </c>
      <c r="C412">
        <v>1</v>
      </c>
      <c r="D412">
        <f t="shared" si="19"/>
        <v>0.0001536231918804269</v>
      </c>
    </row>
    <row r="413" spans="2:4" ht="12.75">
      <c r="B413">
        <f>NORMDIST(+$A$4+$A$6*41100,0,1,1)</f>
        <v>0.9880263541884402</v>
      </c>
      <c r="C413">
        <v>1</v>
      </c>
      <c r="D413">
        <f t="shared" si="19"/>
        <v>0.00014336819402068347</v>
      </c>
    </row>
    <row r="414" spans="2:4" ht="12.75">
      <c r="B414">
        <f>NORMDIST(+$A$4+$A$6*41200,0,1,1)</f>
        <v>0.9884347422476996</v>
      </c>
      <c r="C414">
        <v>1</v>
      </c>
      <c r="D414">
        <f t="shared" si="19"/>
        <v>0.00013375518687714543</v>
      </c>
    </row>
    <row r="415" spans="2:4" ht="12.75">
      <c r="B415">
        <f>NORMDIST(+$A$4+$A$6*41300,0,1,1)</f>
        <v>0.9888309800130722</v>
      </c>
      <c r="C415">
        <v>1</v>
      </c>
      <c r="D415">
        <f t="shared" si="19"/>
        <v>0.00012474700746839188</v>
      </c>
    </row>
    <row r="416" spans="2:4" ht="12.75">
      <c r="B416">
        <f>NORMDIST(+$A$4+$A$6*41400,0,1,1)</f>
        <v>0.9892153609982642</v>
      </c>
      <c r="C416">
        <v>1</v>
      </c>
      <c r="D416">
        <f t="shared" si="19"/>
        <v>0.00011630843839776015</v>
      </c>
    </row>
    <row r="417" spans="2:4" ht="12.75">
      <c r="B417">
        <f>NORMDIST(+$A$4+$A$6*41500,0,1,1)</f>
        <v>0.9895881740644457</v>
      </c>
      <c r="C417">
        <v>1</v>
      </c>
      <c r="D417">
        <f t="shared" si="19"/>
        <v>0.00010840611931228205</v>
      </c>
    </row>
    <row r="418" spans="2:4" ht="12.75">
      <c r="B418">
        <f>NORMDIST(+$A$4+$A$6*41600,0,1,1)</f>
        <v>0.9899497034089448</v>
      </c>
      <c r="C418">
        <v>1</v>
      </c>
      <c r="D418">
        <f t="shared" si="19"/>
        <v>0.00010100846156817504</v>
      </c>
    </row>
    <row r="419" spans="2:4" ht="12.75">
      <c r="B419">
        <f>NORMDIST(+$A$4+$A$6*41700,0,1,1)</f>
        <v>0.9903002285575269</v>
      </c>
      <c r="C419">
        <v>1</v>
      </c>
      <c r="D419">
        <f t="shared" si="19"/>
        <v>9.408556603621741E-05</v>
      </c>
    </row>
    <row r="420" spans="2:4" ht="12.75">
      <c r="B420">
        <f>NORMDIST(+$A$4+$A$6*41800,0,1,1)</f>
        <v>0.990640024360167</v>
      </c>
      <c r="C420">
        <v>1</v>
      </c>
      <c r="D420">
        <f t="shared" si="19"/>
        <v>8.760914397826793E-05</v>
      </c>
    </row>
    <row r="421" spans="2:4" ht="12.75">
      <c r="B421">
        <f>NORMDIST(+$A$4+$A$6*41900,0,1,1)</f>
        <v>0.9909693609902014</v>
      </c>
      <c r="C421">
        <v>1</v>
      </c>
      <c r="D421">
        <f t="shared" si="19"/>
        <v>8.155244092529649E-05</v>
      </c>
    </row>
    <row r="422" spans="2:4" ht="12.75">
      <c r="B422">
        <f>NORMDIST(+$A$4+$A$6*42000,0,1,1)</f>
        <v>0.9912885039467665</v>
      </c>
      <c r="C422">
        <v>1</v>
      </c>
      <c r="D422">
        <f aca="true" t="shared" si="20" ref="D422:D453">(1-B422)^2</f>
        <v>7.58901634855031E-05</v>
      </c>
    </row>
    <row r="423" spans="2:4" ht="12.75">
      <c r="B423">
        <f>NORMDIST(+$A$4+$A$6*42100,0,1,1)</f>
        <v>0.9915977140604146</v>
      </c>
      <c r="C423">
        <v>1</v>
      </c>
      <c r="D423">
        <f t="shared" si="20"/>
        <v>7.059840901055389E-05</v>
      </c>
    </row>
    <row r="424" spans="2:4" ht="12.75">
      <c r="B424">
        <f>NORMDIST(+$A$4+$A$6*42200,0,1,1)</f>
        <v>0.9918972475018074</v>
      </c>
      <c r="C424">
        <v>1</v>
      </c>
      <c r="D424">
        <f t="shared" si="20"/>
        <v>6.565459804696624E-05</v>
      </c>
    </row>
    <row r="425" spans="2:4" ht="12.75">
      <c r="B425">
        <f>NORMDIST(+$A$4+$A$6*42300,0,1,1)</f>
        <v>0.9921873557933828</v>
      </c>
      <c r="C425">
        <v>1</v>
      </c>
      <c r="D425">
        <f t="shared" si="20"/>
        <v>6.103740949918935E-05</v>
      </c>
    </row>
    <row r="426" spans="2:4" ht="12.75">
      <c r="B426">
        <f>NORMDIST(+$A$4+$A$6*42400,0,1,1)</f>
        <v>0.9924682858238949</v>
      </c>
      <c r="C426">
        <v>1</v>
      </c>
      <c r="D426">
        <f t="shared" si="20"/>
        <v>5.672671843054249E-05</v>
      </c>
    </row>
    <row r="427" spans="2:4" ht="12.75">
      <c r="B427">
        <f>NORMDIST(+$A$4+$A$6*42500,0,1,1)</f>
        <v>0.9927402798657162</v>
      </c>
      <c r="C427">
        <v>1</v>
      </c>
      <c r="D427">
        <f t="shared" si="20"/>
        <v>5.270353642812525E-05</v>
      </c>
    </row>
    <row r="428" spans="2:4" ht="12.75">
      <c r="B428">
        <f>NORMDIST(+$A$4+$A$6*42600,0,1,1)</f>
        <v>0.9930035755948121</v>
      </c>
      <c r="C428">
        <v>1</v>
      </c>
      <c r="D428">
        <f t="shared" si="20"/>
        <v>4.894995445750864E-05</v>
      </c>
    </row>
    <row r="429" spans="2:4" ht="12.75">
      <c r="B429">
        <f>NORMDIST(+$A$4+$A$6*42700,0,1,1)</f>
        <v>0.9932584061132748</v>
      </c>
      <c r="C429">
        <v>1</v>
      </c>
      <c r="D429">
        <f t="shared" si="20"/>
        <v>4.544908813353111E-05</v>
      </c>
    </row>
    <row r="430" spans="2:4" ht="12.75">
      <c r="B430">
        <f>NORMDIST(+$A$4+$A$6*42800,0,1,1)</f>
        <v>0.99350499997432</v>
      </c>
      <c r="C430">
        <v>1</v>
      </c>
      <c r="D430">
        <f t="shared" si="20"/>
        <v>4.218502533358375E-05</v>
      </c>
    </row>
    <row r="431" spans="2:4" ht="12.75">
      <c r="B431">
        <f>NORMDIST(+$A$4+$A$6*42900,0,1,1)</f>
        <v>0.9937435812096479</v>
      </c>
      <c r="C431">
        <v>1</v>
      </c>
      <c r="D431">
        <f t="shared" si="20"/>
        <v>3.914277608027087E-05</v>
      </c>
    </row>
    <row r="432" spans="2:4" ht="12.75">
      <c r="B432">
        <f>NORMDIST(+$A$4+$A$6*43000,0,1,1)</f>
        <v>0.9939743693590618</v>
      </c>
      <c r="C432">
        <v>1</v>
      </c>
      <c r="D432">
        <f t="shared" si="20"/>
        <v>3.630822462101325E-05</v>
      </c>
    </row>
    <row r="433" spans="2:4" ht="12.75">
      <c r="B433">
        <f>NORMDIST(+$A$4+$A$6*43100,0,1,1)</f>
        <v>0.9941975795022528</v>
      </c>
      <c r="C433">
        <v>1</v>
      </c>
      <c r="D433">
        <f t="shared" si="20"/>
        <v>3.36680836326763E-05</v>
      </c>
    </row>
    <row r="434" spans="2:4" ht="12.75">
      <c r="B434">
        <f>NORMDIST(+$A$4+$A$6*43200,0,1,1)</f>
        <v>0.9944134222926473</v>
      </c>
      <c r="C434">
        <v>1</v>
      </c>
      <c r="D434">
        <f t="shared" si="20"/>
        <v>3.12098504802903E-05</v>
      </c>
    </row>
    <row r="435" spans="2:4" ht="12.75">
      <c r="B435">
        <f>NORMDIST(+$A$4+$A$6*43300,0,1,1)</f>
        <v>0.9946221039932227</v>
      </c>
      <c r="C435">
        <v>1</v>
      </c>
      <c r="D435">
        <f t="shared" si="20"/>
        <v>2.8921765459711166E-05</v>
      </c>
    </row>
    <row r="436" spans="2:4" ht="12.75">
      <c r="B436">
        <f>NORMDIST(+$A$4+$A$6*43400,0,1,1)</f>
        <v>0.994823826514194</v>
      </c>
      <c r="C436">
        <v>1</v>
      </c>
      <c r="D436">
        <f t="shared" si="20"/>
        <v>2.6792771955161168E-05</v>
      </c>
    </row>
    <row r="437" spans="2:4" ht="12.75">
      <c r="B437">
        <f>NORMDIST(+$A$4+$A$6*43500,0,1,1)</f>
        <v>0.9950187874524781</v>
      </c>
      <c r="C437">
        <v>1</v>
      </c>
      <c r="D437">
        <f t="shared" si="20"/>
        <v>2.4812478443589907E-05</v>
      </c>
    </row>
    <row r="438" spans="2:4" ht="12.75">
      <c r="B438">
        <f>NORMDIST(+$A$4+$A$6*43600,0,1,1)</f>
        <v>0.9952071801328415</v>
      </c>
      <c r="C438">
        <v>1</v>
      </c>
      <c r="D438">
        <f t="shared" si="20"/>
        <v>2.2971122279029368E-05</v>
      </c>
    </row>
    <row r="439" spans="2:4" ht="12.75">
      <c r="B439">
        <f>NORMDIST(+$A$4+$A$6*43700,0,1,1)</f>
        <v>0.9953891936506383</v>
      </c>
      <c r="C439">
        <v>1</v>
      </c>
      <c r="D439">
        <f t="shared" si="20"/>
        <v>2.1259535191314434E-05</v>
      </c>
    </row>
    <row r="440" spans="2:4" ht="12.75">
      <c r="B440">
        <f>NORMDIST(+$A$4+$A$6*43800,0,1,1)</f>
        <v>0.9955650129160523</v>
      </c>
      <c r="C440">
        <v>1</v>
      </c>
      <c r="D440">
        <f t="shared" si="20"/>
        <v>1.966911043478327E-05</v>
      </c>
    </row>
    <row r="441" spans="2:4" ht="12.75">
      <c r="B441">
        <f>NORMDIST(+$A$4+$A$6*43900,0,1,1)</f>
        <v>0.995734818699745</v>
      </c>
      <c r="C441">
        <v>1</v>
      </c>
      <c r="D441">
        <f t="shared" si="20"/>
        <v>1.8191771524044883E-05</v>
      </c>
    </row>
    <row r="442" spans="2:4" ht="12.75">
      <c r="B442">
        <f>NORMDIST(+$A$4+$A$6*44000,0,1,1)</f>
        <v>0.9958987876798346</v>
      </c>
      <c r="C442">
        <v>1</v>
      </c>
      <c r="D442">
        <f t="shared" si="20"/>
        <v>1.681994249507613E-05</v>
      </c>
    </row>
    <row r="443" spans="2:4" ht="12.75">
      <c r="B443">
        <f>NORMDIST(+$A$4+$A$6*44100,0,1,1)</f>
        <v>0.9960570924901075</v>
      </c>
      <c r="C443">
        <v>1</v>
      </c>
      <c r="D443">
        <f t="shared" si="20"/>
        <v>1.5546519631566335E-05</v>
      </c>
    </row>
    <row r="444" spans="2:4" ht="12.75">
      <c r="B444">
        <f>NORMDIST(+$A$4+$A$6*44200,0,1,1)</f>
        <v>0.9962099017693878</v>
      </c>
      <c r="C444">
        <v>1</v>
      </c>
      <c r="D444">
        <f t="shared" si="20"/>
        <v>1.4364844597689426E-05</v>
      </c>
    </row>
    <row r="445" spans="2:4" ht="12.75">
      <c r="B445">
        <f>NORMDIST(+$A$4+$A$6*44300,0,1,1)</f>
        <v>0.9963573802119738</v>
      </c>
      <c r="C445">
        <v>1</v>
      </c>
      <c r="D445">
        <f t="shared" si="20"/>
        <v>1.3268678920119731E-05</v>
      </c>
    </row>
    <row r="446" spans="2:4" ht="12.75">
      <c r="B446">
        <f>NORMDIST(+$A$4+$A$6*44400,0,1,1)</f>
        <v>0.9964996886190685</v>
      </c>
      <c r="C446">
        <v>1</v>
      </c>
      <c r="D446">
        <f t="shared" si="20"/>
        <v>1.225217976347888E-05</v>
      </c>
    </row>
    <row r="447" spans="2:4" ht="12.75">
      <c r="B447">
        <f>NORMDIST(+$A$4+$A$6*44500,0,1,1)</f>
        <v>0.9966369839511187</v>
      </c>
      <c r="C447">
        <v>1</v>
      </c>
      <c r="D447">
        <f t="shared" si="20"/>
        <v>1.1309876945033459E-05</v>
      </c>
    </row>
    <row r="448" spans="2:4" ht="12.75">
      <c r="B448">
        <f>NORMDIST(+$A$4+$A$6*44600,0,1,1)</f>
        <v>0.9967694193809913</v>
      </c>
      <c r="C448">
        <v>1</v>
      </c>
      <c r="D448">
        <f t="shared" si="20"/>
        <v>1.043665113591474E-05</v>
      </c>
    </row>
    <row r="449" spans="2:4" ht="12.75">
      <c r="B449">
        <f>NORMDIST(+$A$4+$A$6*44700,0,1,1)</f>
        <v>0.9968971443479011</v>
      </c>
      <c r="C449">
        <v>1</v>
      </c>
      <c r="D449">
        <f t="shared" si="20"/>
        <v>9.62771319776203E-06</v>
      </c>
    </row>
    <row r="450" spans="2:4" ht="12.75">
      <c r="B450">
        <f>NORMDIST(+$A$4+$A$6*44800,0,1,1)</f>
        <v>0.9970203046120318</v>
      </c>
      <c r="C450">
        <v>1</v>
      </c>
      <c r="D450">
        <f t="shared" si="20"/>
        <v>8.878584605078736E-06</v>
      </c>
    </row>
    <row r="451" spans="2:4" ht="12.75">
      <c r="B451">
        <f>NORMDIST(+$A$4+$A$6*44900,0,1,1)</f>
        <v>0.9971390423097645</v>
      </c>
      <c r="C451">
        <v>1</v>
      </c>
      <c r="D451">
        <f t="shared" si="20"/>
        <v>8.185078905317834E-06</v>
      </c>
    </row>
    <row r="452" spans="2:4" ht="12.75">
      <c r="B452">
        <f>NORMDIST(+$A$4+$A$6*45000,0,1,1)</f>
        <v>0.9972534960094491</v>
      </c>
      <c r="C452">
        <v>1</v>
      </c>
      <c r="D452">
        <f t="shared" si="20"/>
        <v>7.54328417011188E-06</v>
      </c>
    </row>
    <row r="453" spans="2:4" ht="12.75">
      <c r="B453">
        <f>NORMDIST(+$A$4+$A$6*45100,0,1,1)</f>
        <v>0.9973638007676568</v>
      </c>
      <c r="C453">
        <v>1</v>
      </c>
      <c r="D453">
        <f t="shared" si="20"/>
        <v>6.949546392606616E-06</v>
      </c>
    </row>
    <row r="454" spans="2:4" ht="12.75">
      <c r="B454">
        <f>NORMDIST(+$A$4+$A$6*45200,0,1,1)</f>
        <v>0.9974700881858326</v>
      </c>
      <c r="C454">
        <v>1</v>
      </c>
      <c r="D454">
        <f aca="true" t="shared" si="21" ref="D454:D489">(1-B454)^2</f>
        <v>6.400453787463765E-06</v>
      </c>
    </row>
    <row r="455" spans="2:4" ht="12.75">
      <c r="B455">
        <f>NORMDIST(+$A$4+$A$6*45300,0,1,1)</f>
        <v>0.9975724864673028</v>
      </c>
      <c r="C455">
        <v>1</v>
      </c>
      <c r="D455">
        <f t="shared" si="21"/>
        <v>5.8928219514280975E-06</v>
      </c>
    </row>
    <row r="456" spans="2:4" ht="12.75">
      <c r="B456">
        <f>NORMDIST(+$A$4+$A$6*45400,0,1,1)</f>
        <v>0.9976711204745605</v>
      </c>
      <c r="C456">
        <v>1</v>
      </c>
      <c r="D456">
        <f t="shared" si="21"/>
        <v>5.423679844011197E-06</v>
      </c>
    </row>
    <row r="457" spans="2:4" ht="12.75">
      <c r="B457">
        <f>NORMDIST(+$A$4+$A$6*45500,0,1,1)</f>
        <v>0.9977661117867739</v>
      </c>
      <c r="C457">
        <v>1</v>
      </c>
      <c r="D457">
        <f t="shared" si="21"/>
        <v>4.99025654919059E-06</v>
      </c>
    </row>
    <row r="458" spans="2:4" ht="12.75">
      <c r="B458">
        <f>NORMDIST(+$A$4+$A$6*45600,0,1,1)</f>
        <v>0.9978575787574631</v>
      </c>
      <c r="C458">
        <v>1</v>
      </c>
      <c r="D458">
        <f t="shared" si="21"/>
        <v>4.589968780473528E-06</v>
      </c>
    </row>
    <row r="459" spans="2:4" ht="12.75">
      <c r="B459">
        <f>NORMDIST(+$A$4+$A$6*45700,0,1,1)</f>
        <v>0.9979456365722831</v>
      </c>
      <c r="C459">
        <v>1</v>
      </c>
      <c r="D459">
        <f t="shared" si="21"/>
        <v>4.220409093140817E-06</v>
      </c>
    </row>
    <row r="460" spans="2:4" ht="12.75">
      <c r="B460">
        <f>NORMDIST(+$A$4+$A$6*45800,0,1,1)</f>
        <v>0.9980303973068654</v>
      </c>
      <c r="C460">
        <v>1</v>
      </c>
      <c r="D460">
        <f t="shared" si="21"/>
        <v>3.879334768803148E-06</v>
      </c>
    </row>
    <row r="461" spans="2:4" ht="12.75">
      <c r="B461">
        <f>NORMDIST(+$A$4+$A$6*45900,0,1,1)</f>
        <v>0.998111969984657</v>
      </c>
      <c r="C461">
        <v>1</v>
      </c>
      <c r="D461">
        <f t="shared" si="21"/>
        <v>3.56465733883605E-06</v>
      </c>
    </row>
    <row r="462" spans="2:4" ht="12.75">
      <c r="B462">
        <f>NORMDIST(+$A$4+$A$6*46000,0,1,1)</f>
        <v>0.9981904606347154</v>
      </c>
      <c r="C462">
        <v>1</v>
      </c>
      <c r="D462">
        <f t="shared" si="21"/>
        <v>3.2744327145146185E-06</v>
      </c>
    </row>
    <row r="463" spans="2:4" ht="12.75">
      <c r="B463">
        <f>NORMDIST(+$A$4+$A$6*46100,0,1,1)</f>
        <v>0.9982659723494085</v>
      </c>
      <c r="C463">
        <v>1</v>
      </c>
      <c r="D463">
        <f t="shared" si="21"/>
        <v>3.0068518930158648E-06</v>
      </c>
    </row>
    <row r="464" spans="2:4" ht="12.75">
      <c r="B464">
        <f>NORMDIST(+$A$4+$A$6*46200,0,1,1)</f>
        <v>0.9983386053419685</v>
      </c>
      <c r="C464">
        <v>1</v>
      </c>
      <c r="D464">
        <f t="shared" si="21"/>
        <v>2.7602322097356076E-06</v>
      </c>
    </row>
    <row r="465" spans="2:4" ht="12.75">
      <c r="B465">
        <f>NORMDIST(+$A$4+$A$6*46300,0,1,1)</f>
        <v>0.9984084570038634</v>
      </c>
      <c r="C465">
        <v>1</v>
      </c>
      <c r="D465">
        <f t="shared" si="21"/>
        <v>2.533009108551526E-06</v>
      </c>
    </row>
    <row r="466" spans="2:4" ht="12.75">
      <c r="B466">
        <f>NORMDIST(+$A$4+$A$6*46400,0,1,1)</f>
        <v>0.9984756219619338</v>
      </c>
      <c r="C466">
        <v>1</v>
      </c>
      <c r="D466">
        <f t="shared" si="21"/>
        <v>2.3237284029384174E-06</v>
      </c>
    </row>
    <row r="467" spans="2:4" ht="12.75">
      <c r="B467">
        <f>NORMDIST(+$A$4+$A$6*46500,0,1,1)</f>
        <v>0.9985401921352657</v>
      </c>
      <c r="C467">
        <v>1</v>
      </c>
      <c r="D467">
        <f t="shared" si="21"/>
        <v>2.1310390019401726E-06</v>
      </c>
    </row>
    <row r="468" spans="2:4" ht="12.75">
      <c r="B468">
        <f>NORMDIST(+$A$4+$A$6*46600,0,1,1)</f>
        <v>0.9986022567917473</v>
      </c>
      <c r="C468">
        <v>1</v>
      </c>
      <c r="D468">
        <f t="shared" si="21"/>
        <v>1.95368607621655E-06</v>
      </c>
    </row>
    <row r="469" spans="2:4" ht="12.75">
      <c r="B469">
        <f>NORMDIST(+$A$4+$A$6*46700,0,1,1)</f>
        <v>0.9986619026042866</v>
      </c>
      <c r="C469">
        <v>1</v>
      </c>
      <c r="D469">
        <f t="shared" si="21"/>
        <v>1.7905046404151026E-06</v>
      </c>
    </row>
    <row r="470" spans="2:4" ht="12.75">
      <c r="B470">
        <f>NORMDIST(+$A$4+$A$6*46800,0,1,1)</f>
        <v>0.9987192137066387</v>
      </c>
      <c r="C470">
        <v>1</v>
      </c>
      <c r="D470">
        <f t="shared" si="21"/>
        <v>1.6404135292620704E-06</v>
      </c>
    </row>
    <row r="471" spans="2:4" ht="12.75">
      <c r="B471">
        <f>NORMDIST(+$A$4+$A$6*46900,0,1,1)</f>
        <v>0.9987742717488279</v>
      </c>
      <c r="C471">
        <v>1</v>
      </c>
      <c r="D471">
        <f t="shared" si="21"/>
        <v>1.502409745721328E-06</v>
      </c>
    </row>
    <row r="472" spans="2:4" ht="12.75">
      <c r="B472">
        <f>NORMDIST(+$A$4+$A$6*47000,0,1,1)</f>
        <v>0.9988271559521152</v>
      </c>
      <c r="C472">
        <v>1</v>
      </c>
      <c r="D472">
        <f t="shared" si="21"/>
        <v>1.3755631606587043E-06</v>
      </c>
    </row>
    <row r="473" spans="2:4" ht="12.75">
      <c r="B473">
        <f>NORMDIST(+$A$4+$A$6*47100,0,1,1)</f>
        <v>0.9988779431634908</v>
      </c>
      <c r="C473">
        <v>1</v>
      </c>
      <c r="D473">
        <f t="shared" si="21"/>
        <v>1.259011544357108E-06</v>
      </c>
    </row>
    <row r="474" spans="2:4" ht="12.75">
      <c r="B474">
        <f>NORMDIST(+$A$4+$A$6*47200,0,1,1)</f>
        <v>0.9989267079096624</v>
      </c>
      <c r="C474">
        <v>1</v>
      </c>
      <c r="D474">
        <f t="shared" si="21"/>
        <v>1.1519559111811996E-06</v>
      </c>
    </row>
    <row r="475" spans="2:4" ht="12.75">
      <c r="B475">
        <f>NORMDIST(+$A$4+$A$6*47300,0,1,1)</f>
        <v>0.9989735224505109</v>
      </c>
      <c r="C475">
        <v>1</v>
      </c>
      <c r="D475">
        <f t="shared" si="21"/>
        <v>1.0536561596052432E-06</v>
      </c>
    </row>
    <row r="476" spans="2:4" ht="12.75">
      <c r="B476">
        <f>NORMDIST(+$A$4+$A$6*47400,0,1,1)</f>
        <v>0.9990184568319855</v>
      </c>
      <c r="C476">
        <v>1</v>
      </c>
      <c r="D476">
        <f t="shared" si="21"/>
        <v>9.63426990675872E-07</v>
      </c>
    </row>
    <row r="477" spans="2:4" ht="12.75">
      <c r="B477">
        <f>NORMDIST(+$A$4+$A$6*47500,0,1,1)</f>
        <v>0.999061578938425</v>
      </c>
      <c r="C477">
        <v>1</v>
      </c>
      <c r="D477">
        <f t="shared" si="21"/>
        <v>8.806340888076353E-07</v>
      </c>
    </row>
    <row r="478" spans="2:4" ht="12.75">
      <c r="B478">
        <f>NORMDIST(+$A$4+$A$6*47600,0,1,1)</f>
        <v>0.999102954544264</v>
      </c>
      <c r="C478">
        <v>1</v>
      </c>
      <c r="D478">
        <f t="shared" si="21"/>
        <v>8.046905496565895E-07</v>
      </c>
    </row>
    <row r="479" spans="2:4" ht="12.75">
      <c r="B479">
        <f>NORMDIST(+$A$4+$A$6*47700,0,1,1)</f>
        <v>0.9991426473651309</v>
      </c>
      <c r="C479">
        <v>1</v>
      </c>
      <c r="D479">
        <f t="shared" si="21"/>
        <v>7.350535405169534E-07</v>
      </c>
    </row>
    <row r="480" spans="2:4" ht="12.75">
      <c r="B480">
        <f>NORMDIST(+$A$4+$A$6*47800,0,1,1)</f>
        <v>0.9991807191082887</v>
      </c>
      <c r="C480">
        <v>1</v>
      </c>
      <c r="D480">
        <f t="shared" si="21"/>
        <v>6.712211795233435E-07</v>
      </c>
    </row>
    <row r="481" spans="2:4" ht="12.75">
      <c r="B481">
        <f>NORMDIST(+$A$4+$A$6*47900,0,1,1)</f>
        <v>0.9992172295224259</v>
      </c>
      <c r="C481">
        <v>1</v>
      </c>
      <c r="D481">
        <f t="shared" si="21"/>
        <v>6.127296205616395E-07</v>
      </c>
    </row>
    <row r="482" spans="2:4" ht="12.75">
      <c r="B482">
        <f>NORMDIST(+$A$4+$A$6*48000,0,1,1)</f>
        <v>0.9992522364467634</v>
      </c>
      <c r="C482">
        <v>1</v>
      </c>
      <c r="D482">
        <f t="shared" si="21"/>
        <v>5.591503315489957E-07</v>
      </c>
    </row>
    <row r="483" spans="2:4" ht="12.75">
      <c r="B483">
        <f>NORMDIST(+$A$4+$A$6*48100,0,1,1)</f>
        <v>0.9992857958594791</v>
      </c>
      <c r="C483">
        <v>1</v>
      </c>
      <c r="D483">
        <f t="shared" si="21"/>
        <v>5.100875543372321E-07</v>
      </c>
    </row>
    <row r="484" spans="2:4" ht="12.75">
      <c r="B484">
        <f>NORMDIST(+$A$4+$A$6*48200,0,1,1)</f>
        <v>0.9993179619254158</v>
      </c>
      <c r="C484">
        <v>1</v>
      </c>
      <c r="D484">
        <f t="shared" si="21"/>
        <v>4.65175935182555E-07</v>
      </c>
    </row>
    <row r="485" spans="2:4" ht="12.75">
      <c r="B485">
        <f>NORMDIST(+$A$4+$A$6*48300,0,1,1)</f>
        <v>0.9993487870430837</v>
      </c>
      <c r="C485">
        <v>1</v>
      </c>
      <c r="D485">
        <f t="shared" si="21"/>
        <v>4.240783152556455E-07</v>
      </c>
    </row>
    <row r="486" spans="2:4" ht="12.75">
      <c r="B486">
        <f>NORMDIST(+$A$4+$A$6*48400,0,1,1)</f>
        <v>0.9993783218909278</v>
      </c>
      <c r="C486">
        <v>1</v>
      </c>
      <c r="D486">
        <f t="shared" si="21"/>
        <v>3.8648367129959876E-07</v>
      </c>
    </row>
    <row r="487" spans="2:4" ht="12.75">
      <c r="B487">
        <f>NORMDIST(+$A$4+$A$6*48500,0,1,1)</f>
        <v>0.9994066154728578</v>
      </c>
      <c r="C487">
        <v>1</v>
      </c>
      <c r="D487">
        <f t="shared" si="21"/>
        <v>3.521051970517644E-07</v>
      </c>
    </row>
    <row r="488" spans="2:4" ht="12.75">
      <c r="B488">
        <f>NORMDIST(+$A$4+$A$6*48600,0,1,1)</f>
        <v>0.9994337151630377</v>
      </c>
      <c r="C488">
        <v>1</v>
      </c>
      <c r="D488">
        <f t="shared" si="21"/>
        <v>3.2067851657342463E-07</v>
      </c>
    </row>
    <row r="489" spans="2:4" ht="12.75">
      <c r="B489">
        <f>NORMDIST(+$A$4+$A$6*48700,0,1,1)</f>
        <v>0.9994596667499109</v>
      </c>
      <c r="C489">
        <v>1</v>
      </c>
      <c r="D489">
        <f t="shared" si="21"/>
        <v>2.9196002115181154E-07</v>
      </c>
    </row>
    <row r="490" spans="2:4" ht="12.75">
      <c r="B490">
        <f>NORMDIST(+$A$4+$A$6*48800,0,1,1)</f>
        <v>0.999484514479478</v>
      </c>
      <c r="C490">
        <v>0</v>
      </c>
      <c r="D490">
        <f>(0-B490)^2</f>
        <v>0.9989692946842778</v>
      </c>
    </row>
    <row r="491" spans="2:4" ht="12.75">
      <c r="B491">
        <f>NORMDIST(+$A$4+$A$6*48900,0,1,1)</f>
        <v>0.9995083010977979</v>
      </c>
      <c r="C491">
        <v>1</v>
      </c>
      <c r="D491">
        <f aca="true" t="shared" si="22" ref="D491:D501">(1-B491)^2</f>
        <v>2.4176781042678096E-07</v>
      </c>
    </row>
    <row r="492" spans="2:4" ht="12.75">
      <c r="B492">
        <f>NORMDIST(+$A$4+$A$6*49000,0,1,1)</f>
        <v>0.9995310678927268</v>
      </c>
      <c r="C492">
        <v>1</v>
      </c>
      <c r="D492">
        <f t="shared" si="22"/>
        <v>2.1989732123165377E-07</v>
      </c>
    </row>
    <row r="493" spans="2:4" ht="12.75">
      <c r="B493">
        <f>NORMDIST(+$A$4+$A$6*49100,0,1,1)</f>
        <v>0.9995528547348767</v>
      </c>
      <c r="C493">
        <v>1</v>
      </c>
      <c r="D493">
        <f t="shared" si="22"/>
        <v>1.9993888812223082E-07</v>
      </c>
    </row>
    <row r="494" spans="2:4" ht="12.75">
      <c r="B494">
        <f>NORMDIST(+$A$4+$A$6*49200,0,1,1)</f>
        <v>0.9995737001178093</v>
      </c>
      <c r="C494">
        <v>1</v>
      </c>
      <c r="D494">
        <f t="shared" si="22"/>
        <v>1.8173158955578143E-07</v>
      </c>
    </row>
    <row r="495" spans="2:4" ht="12.75">
      <c r="B495">
        <f>NORMDIST(+$A$4+$A$6*49300,0,1,1)</f>
        <v>0.9995936411974424</v>
      </c>
      <c r="C495">
        <v>1</v>
      </c>
      <c r="D495">
        <f t="shared" si="22"/>
        <v>1.6512747641602338E-07</v>
      </c>
    </row>
    <row r="496" spans="2:4" ht="12.75">
      <c r="B496">
        <f>NORMDIST(+$A$4+$A$6*49400,0,1,1)</f>
        <v>0.9996127138306821</v>
      </c>
      <c r="C496">
        <v>1</v>
      </c>
      <c r="D496">
        <f t="shared" si="22"/>
        <v>1.4999057694496042E-07</v>
      </c>
    </row>
    <row r="497" spans="2:4" ht="12.75">
      <c r="B497">
        <f>NORMDIST(+$A$4+$A$6*49500,0,1,1)</f>
        <v>0.9996309526132807</v>
      </c>
      <c r="C497">
        <v>1</v>
      </c>
      <c r="D497">
        <f t="shared" si="22"/>
        <v>1.3619597364432903E-07</v>
      </c>
    </row>
    <row r="498" spans="2:4" ht="12.75">
      <c r="B498">
        <f>NORMDIST(+$A$4+$A$6*49600,0,1,1)</f>
        <v>0.9996483909169203</v>
      </c>
      <c r="C498">
        <v>1</v>
      </c>
      <c r="D498">
        <f t="shared" si="22"/>
        <v>1.236289473041757E-07</v>
      </c>
    </row>
    <row r="499" spans="2:4" ht="12.75">
      <c r="B499">
        <f>NORMDIST(+$A$4+$A$6*49700,0,1,1)</f>
        <v>0.9996650609255121</v>
      </c>
      <c r="C499">
        <v>1</v>
      </c>
      <c r="D499">
        <f t="shared" si="22"/>
        <v>1.1218418361880727E-07</v>
      </c>
    </row>
    <row r="500" spans="2:4" ht="12.75">
      <c r="B500">
        <f>NORMDIST(+$A$4+$A$6*49800,0,1,1)</f>
        <v>0.9996809936707296</v>
      </c>
      <c r="C500">
        <v>1</v>
      </c>
      <c r="D500">
        <f t="shared" si="22"/>
        <v>1.017650381145744E-07</v>
      </c>
    </row>
    <row r="501" spans="2:4" ht="12.75">
      <c r="B501">
        <f>NORMDIST(+$A$4+$A$6*49900,0,1,1)</f>
        <v>0.9996962190667797</v>
      </c>
      <c r="C501">
        <v>1</v>
      </c>
      <c r="D501">
        <f t="shared" si="22"/>
        <v>9.228285538816877E-08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 Carlo Simulation of b1 in Campaign Contribution Example</dc:title>
  <dc:subject/>
  <dc:creator>Barreto/Howland</dc:creator>
  <cp:keywords/>
  <dc:description/>
  <cp:lastModifiedBy>Humberto Barreto</cp:lastModifiedBy>
  <cp:lastPrinted>2001-03-17T21:57:28Z</cp:lastPrinted>
  <dcterms:created xsi:type="dcterms:W3CDTF">2000-03-12T20:09:04Z</dcterms:created>
  <dcterms:modified xsi:type="dcterms:W3CDTF">2005-08-08T14:23:38Z</dcterms:modified>
  <cp:category/>
  <cp:version/>
  <cp:contentType/>
  <cp:contentStatus/>
</cp:coreProperties>
</file>